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showInkAnnotation="0" codeName="ThisWorkbook" defaultThemeVersion="124226"/>
  <bookViews>
    <workbookView xWindow="-15" yWindow="-15" windowWidth="9720" windowHeight="11610" activeTab="1"/>
  </bookViews>
  <sheets>
    <sheet name="Instructions" sheetId="5" r:id="rId1"/>
    <sheet name="Leave Payout" sheetId="1" r:id="rId2"/>
    <sheet name="Lookups and Calculations" sheetId="6" r:id="rId3"/>
    <sheet name="Revision Notes" sheetId="7" state="hidden" r:id="rId4"/>
    <sheet name="Adjusted Emp Date Calc" sheetId="8" r:id="rId5"/>
  </sheets>
  <definedNames>
    <definedName name="adjemp">'Adjusted Emp Date Calc'!$D$17</definedName>
    <definedName name="adjlwop">'Adjusted Emp Date Calc'!$D$12</definedName>
    <definedName name="cpmisanndate">'Adjusted Emp Date Calc'!$B$10</definedName>
    <definedName name="csbd">'Adjusted Emp Date Calc'!$D$11</definedName>
    <definedName name="currper">'Adjusted Emp Date Calc'!$D$8</definedName>
    <definedName name="deferred">'Leave Payout'!$J$29:$J$48</definedName>
    <definedName name="defpayout">'Leave Payout'!$I$29:$J$48</definedName>
    <definedName name="lstannmos">'Adjusted Emp Date Calc'!$B$11</definedName>
    <definedName name="lvpay">'Leave Payout'!$I$29:$I$48</definedName>
    <definedName name="lvtypes" localSheetId="1">'Lookups and Calculations'!$A$9:$A$13</definedName>
    <definedName name="lvtypes02">'Lookups and Calculations'!$A$8:$C$14</definedName>
    <definedName name="lwopno">'Adjusted Emp Date Calc'!$D$9</definedName>
    <definedName name="OTLvAvgHrlyRate">'Lookups and Calculations'!$D$34</definedName>
    <definedName name="payno">'Lookups and Calculations'!$B$9:$B$13</definedName>
    <definedName name="pmisanndate">'Adjusted Emp Date Calc'!$B$7</definedName>
    <definedName name="pmisannnew">'Adjusted Emp Date Calc'!$B$12</definedName>
    <definedName name="pmisannnum">'Adjusted Emp Date Calc'!$B$8</definedName>
    <definedName name="_xlnm.Print_Area" localSheetId="0">Instructions!$A$1:$A$17</definedName>
    <definedName name="_xlnm.Print_Area" localSheetId="1">'Leave Payout'!$A$1:$J$61</definedName>
    <definedName name="_xlnm.Print_Area" localSheetId="2">'Lookups and Calculations'!$A$7:$I$48</definedName>
    <definedName name="PSM">'Adjusted Emp Date Calc'!$D$7</definedName>
    <definedName name="retcodesprev">#REF!</definedName>
    <definedName name="SBD">'Adjusted Emp Date Calc'!$D$6</definedName>
    <definedName name="sepstat">'Leave Payout'!$C$17</definedName>
    <definedName name="SepStatus">'Lookups and Calculations'!$D$8:$D$12</definedName>
    <definedName name="spcpay">'Lookups and Calculations'!$A$9:$C$13</definedName>
    <definedName name="TabOrder" localSheetId="1">'Leave Payout'!$C$3,'Leave Payout'!$D$4:$E$4,'Leave Payout'!$C$8:$E$8,'Leave Payout'!$I$8,'Leave Payout'!$I$10,'Leave Payout'!$G$14,'Leave Payout'!$I$14,'Leave Payout'!$G$15,'Leave Payout'!$I$15,'Leave Payout'!$G$16,'Leave Payout'!$I$16,'Leave Payout'!$G$17,'Leave Payout'!$I$17,'Leave Payout'!$G$18,'Leave Payout'!$I$18,'Leave Payout'!$G$19,'Leave Payout'!$I$19,'Leave Payout'!$C$10,'Leave Payout'!$C$11,'Leave Payout'!$C$12,'Leave Payout'!$C$14,'Leave Payout'!#REF!,'Leave Payout'!$C$15,'Leave Payout'!$C$17,'Leave Payout'!$D$18,'Leave Payout'!$D$21,'Leave Payout'!$B$25,'Leave Payout'!$D$25,'Leave Payout'!$E$25,'Leave Payout'!$F$25,'Leave Payout'!$G$25,'Leave Payout'!$H$25,'Leave Payout'!$I$25,'Leave Payout'!$J$25</definedName>
    <definedName name="workcomp">#REF!</definedName>
    <definedName name="YesNo" comment="source list for fields requiring a Y (yes) or N (no) response">'Lookups and Calculations'!$F$9:$F$10</definedName>
  </definedNames>
  <calcPr calcId="145621"/>
</workbook>
</file>

<file path=xl/calcChain.xml><?xml version="1.0" encoding="utf-8"?>
<calcChain xmlns="http://schemas.openxmlformats.org/spreadsheetml/2006/main">
  <c r="F8" i="6" l="1"/>
  <c r="H49" i="1"/>
  <c r="C49" i="1"/>
  <c r="A51" i="1" s="1"/>
  <c r="C48" i="1"/>
  <c r="D3" i="6" l="1"/>
  <c r="C36" i="1" l="1"/>
  <c r="D39" i="1"/>
  <c r="D38" i="1"/>
  <c r="B5" i="8" l="1"/>
  <c r="B8" i="8"/>
  <c r="B11" i="8" s="1"/>
  <c r="B7" i="8"/>
  <c r="B10" i="8" s="1"/>
  <c r="B6" i="8"/>
  <c r="B12" i="8" l="1"/>
  <c r="B16" i="8" s="1"/>
  <c r="C14" i="1" s="1"/>
  <c r="C16" i="1" s="1"/>
  <c r="B14" i="8" l="1"/>
  <c r="F9" i="1" l="1"/>
  <c r="D22" i="6"/>
  <c r="D2" i="6"/>
  <c r="D4" i="6" s="1"/>
  <c r="C37" i="6"/>
  <c r="C39" i="6" s="1"/>
  <c r="A48" i="1"/>
  <c r="H48" i="1" s="1"/>
  <c r="A45" i="1"/>
  <c r="H45" i="1" s="1"/>
  <c r="A42" i="1"/>
  <c r="H42" i="1" s="1"/>
  <c r="C13" i="6"/>
  <c r="B13" i="6"/>
  <c r="A13" i="6"/>
  <c r="D20" i="1"/>
  <c r="F38" i="1" s="1"/>
  <c r="D10" i="1"/>
  <c r="A21" i="1"/>
  <c r="H29" i="1"/>
  <c r="H36" i="1"/>
  <c r="C25" i="1"/>
  <c r="A36" i="1" s="1"/>
  <c r="C29" i="1"/>
  <c r="J57" i="1"/>
  <c r="C42" i="1"/>
  <c r="C45" i="1"/>
  <c r="A20" i="1"/>
  <c r="A29" i="1"/>
  <c r="B38" i="1"/>
  <c r="B39" i="1"/>
  <c r="D26" i="6" l="1"/>
  <c r="B26" i="6"/>
  <c r="I11" i="1"/>
  <c r="E29" i="1" s="1"/>
  <c r="B25" i="6"/>
  <c r="A18" i="1"/>
  <c r="A5" i="1" s="1"/>
  <c r="E24" i="1"/>
  <c r="I29" i="1" l="1"/>
  <c r="E45" i="1"/>
  <c r="E42" i="1"/>
  <c r="G36" i="1"/>
  <c r="B27" i="6"/>
  <c r="B29" i="6"/>
  <c r="D25" i="6"/>
  <c r="D27" i="6"/>
  <c r="D29" i="6"/>
  <c r="B28" i="6"/>
  <c r="B30" i="6"/>
  <c r="D28" i="6"/>
  <c r="D30" i="6"/>
  <c r="D32" i="6" l="1"/>
  <c r="D31" i="6"/>
  <c r="D33" i="6" l="1"/>
  <c r="D34" i="6" s="1"/>
  <c r="E49" i="1" s="1"/>
  <c r="I49" i="1" s="1"/>
  <c r="E48" i="1" l="1"/>
  <c r="I48" i="1" s="1"/>
  <c r="I42" i="1"/>
  <c r="E43" i="1"/>
  <c r="I45" i="1"/>
  <c r="E46" i="1" l="1"/>
  <c r="E37" i="1"/>
  <c r="I36" i="1" s="1"/>
  <c r="C24" i="1" s="1"/>
  <c r="I52" i="1" l="1"/>
</calcChain>
</file>

<file path=xl/comments1.xml><?xml version="1.0" encoding="utf-8"?>
<comments xmlns="http://schemas.openxmlformats.org/spreadsheetml/2006/main">
  <authors>
    <author>shannon.gulasky</author>
    <author>jrk37457</author>
  </authors>
  <commentList>
    <comment ref="B31" authorId="0">
      <text>
        <r>
          <rPr>
            <b/>
            <sz val="10"/>
            <color indexed="81"/>
            <rFont val="Tahoma"/>
            <family val="2"/>
          </rPr>
          <t>Per DHRM Policy 4.10</t>
        </r>
      </text>
    </comment>
    <comment ref="E37" authorId="1">
      <text>
        <r>
          <rPr>
            <sz val="9"/>
            <color indexed="81"/>
            <rFont val="Tahoma"/>
            <family val="2"/>
          </rPr>
          <t xml:space="preserve">This is the amount of hours actually paid.  By policy, only 25% of TSL or Disability Credits are compensable.
</t>
        </r>
      </text>
    </comment>
    <comment ref="B38" authorId="0">
      <text>
        <r>
          <rPr>
            <sz val="10"/>
            <color indexed="81"/>
            <rFont val="Tahoma"/>
            <family val="2"/>
          </rPr>
          <t xml:space="preserve">Per VSDP Policy 4.57 DHRM:DCs are automatically transferred to the TPA. DCs are required to be used in 8-hour increments to supplement disability payment to receive 100% pay. The fractional amount left is paid out per policy.
</t>
        </r>
      </text>
    </comment>
    <comment ref="F38" authorId="0">
      <text>
        <r>
          <rPr>
            <sz val="10"/>
            <color indexed="81"/>
            <rFont val="Tahoma"/>
            <family val="2"/>
          </rPr>
          <t>Per DHRM Policy 1.30:
Disability Credits:
An eligible employee’s Disability Credit balance must be held while the employee is on leave without pay-layoff. At the expiration of leave without pay-layoff, or if the employee resigns or retires before the expiration of leave without pay-layoff, Disability Credits will be paid in accordance with Policy 4.57, Virginia Sickness and Disability Program. Employees also may choose to elect to convert unused disability credits to service credits to increase their VRS benefit according to the Virginia Retirement System.
TSL Sick Hours:
Employees with a Traditional Sick Leave balance have the option to retain those hours for payment upon separation from state service. Under that option, a Traditional Sick Leave employee's Sick Leave hours (including banked hours) must be held while the employee is on leave without pay-layoff. At the expiration of leave without pay-layoff, or if the employee resigns or retires before the expiration of leave without pay-layoff, Traditional Sick Leave hours will be paid in accordance with Policy 4.55, Traditional Sick Leave. Employees also may choose to elect to convert Traditional Sick Leave hours to service credits to increase their VRS benefit according to the Virginia Retirement System.</t>
        </r>
      </text>
    </comment>
  </commentList>
</comments>
</file>

<file path=xl/sharedStrings.xml><?xml version="1.0" encoding="utf-8"?>
<sst xmlns="http://schemas.openxmlformats.org/spreadsheetml/2006/main" count="146" uniqueCount="99">
  <si>
    <t>Leave Payout Calculations</t>
  </si>
  <si>
    <t>Agency Number:</t>
  </si>
  <si>
    <t>Check Date to Be Paid:</t>
  </si>
  <si>
    <t>Employee's Name:</t>
  </si>
  <si>
    <t>Emp ID #</t>
  </si>
  <si>
    <t>VSDP Employee:</t>
  </si>
  <si>
    <t>Separation Date:</t>
  </si>
  <si>
    <t>Separation Status:</t>
  </si>
  <si>
    <t>TERM</t>
  </si>
  <si>
    <t>YRS of Service:</t>
  </si>
  <si>
    <t>N</t>
  </si>
  <si>
    <t>EMPLOYEE 'S ACCRUED UNUSED LEAVE HOURS:</t>
  </si>
  <si>
    <t>Hours</t>
  </si>
  <si>
    <t>Rate</t>
  </si>
  <si>
    <t>HUE01 Special Pay No</t>
  </si>
  <si>
    <t>GROSS AMT. DUE</t>
  </si>
  <si>
    <t>x</t>
  </si>
  <si>
    <t>*Max. Payment Hours allowed Depending on Length of Service:</t>
  </si>
  <si>
    <t>Less than 5 yrs.</t>
  </si>
  <si>
    <t>10-19 yrs.</t>
  </si>
  <si>
    <t>5-9 yrs</t>
  </si>
  <si>
    <t>20 or more yrs</t>
  </si>
  <si>
    <t>Total Combined Leave Payout:</t>
  </si>
  <si>
    <t>Prepared By :</t>
  </si>
  <si>
    <t>Date</t>
  </si>
  <si>
    <t>09</t>
  </si>
  <si>
    <t>TRANSFER</t>
  </si>
  <si>
    <t>RETIRED</t>
  </si>
  <si>
    <t>INVSEP</t>
  </si>
  <si>
    <t>Y</t>
  </si>
  <si>
    <t>This spreadsheet is policy driven.  If you have an error above this line, please correct it to ensure that the calculations are correct.</t>
  </si>
  <si>
    <t>TSL Bank Employee:</t>
  </si>
  <si>
    <t>You must select or fill in all information between rows 8 and 18.</t>
  </si>
  <si>
    <t xml:space="preserve">Recog: </t>
  </si>
  <si>
    <t xml:space="preserve">Annual: </t>
  </si>
  <si>
    <t xml:space="preserve">Comp: </t>
  </si>
  <si>
    <t xml:space="preserve">Overtime: </t>
  </si>
  <si>
    <t xml:space="preserve">Sick: </t>
  </si>
  <si>
    <r>
      <t xml:space="preserve">If sending all or part of leave payout to Deferred Comp, use </t>
    </r>
    <r>
      <rPr>
        <b/>
        <sz val="10"/>
        <color indexed="12"/>
        <rFont val="Arial"/>
        <family val="2"/>
      </rPr>
      <t>Deferred Compensation Payout Spreadsheet</t>
    </r>
    <r>
      <rPr>
        <sz val="10"/>
        <rFont val="Arial"/>
        <family val="2"/>
      </rPr>
      <t xml:space="preserve"> to determine amount to enter on H0ZDC. The employee should provide you with a "Payroll Authorization Form - One-Time Deferral". This form is provided by the Deferred Compensation vendor. Access the vendor's website through the Virginia Retirement System (VRS) website at: www.varetire.org.</t>
    </r>
  </si>
  <si>
    <t>Leave Types</t>
  </si>
  <si>
    <t>Reg SP</t>
  </si>
  <si>
    <t>Inv Sep SP</t>
  </si>
  <si>
    <t>Separation Status</t>
  </si>
  <si>
    <t>Current Annual Salary:</t>
  </si>
  <si>
    <t>Current Hourly Rate:</t>
  </si>
  <si>
    <t>Yes/No</t>
  </si>
  <si>
    <t>Prior Salary History for 3 Years Prior to Separation:</t>
  </si>
  <si>
    <t>Adjusted Emp. Date:</t>
  </si>
  <si>
    <t>eff. date:</t>
  </si>
  <si>
    <t>prev. salary:</t>
  </si>
  <si>
    <t>Calculating average hourly pay rate over the last three continuous years of service</t>
  </si>
  <si>
    <t>Lookback Start Date:</t>
  </si>
  <si>
    <t>Total of Eligible Previous Annual Salaries</t>
  </si>
  <si>
    <t>Number of Eligible Annual Salaries</t>
  </si>
  <si>
    <t>Average Annual Rate</t>
  </si>
  <si>
    <t>Is Bonus Leave valid at this time?</t>
  </si>
  <si>
    <t>&lt;--- SPO: update this field when Bonus Leave is awarded/activated by the Governor or DHRM.</t>
  </si>
  <si>
    <r>
      <t>Hourly rate from Average Annual Rate (</t>
    </r>
    <r>
      <rPr>
        <b/>
        <sz val="10"/>
        <rFont val="Arial"/>
        <family val="2"/>
      </rPr>
      <t>OTLvAvgHrlyRate</t>
    </r>
    <r>
      <rPr>
        <sz val="10"/>
        <rFont val="Arial"/>
        <family val="2"/>
      </rPr>
      <t>)</t>
    </r>
  </si>
  <si>
    <t xml:space="preserve">OnCall: </t>
  </si>
  <si>
    <t>Contract Length:</t>
  </si>
  <si>
    <t>Contract Length (months):</t>
  </si>
  <si>
    <t>Revision Date</t>
  </si>
  <si>
    <t>Revised by</t>
  </si>
  <si>
    <t>rer</t>
  </si>
  <si>
    <t>Click on any field in the spreadsheet for further instructions or to determine the source of the information requested.</t>
  </si>
  <si>
    <r>
      <t xml:space="preserve">Enter only the information requested in the </t>
    </r>
    <r>
      <rPr>
        <b/>
        <sz val="12"/>
        <rFont val="Arial"/>
        <family val="2"/>
      </rPr>
      <t>BLUE</t>
    </r>
    <r>
      <rPr>
        <sz val="12"/>
        <rFont val="Arial"/>
        <family val="2"/>
      </rPr>
      <t xml:space="preserve"> shaded areas. Everything else is automatically calculated.</t>
    </r>
  </si>
  <si>
    <r>
      <t xml:space="preserve">If you receive an error message highlighted in </t>
    </r>
    <r>
      <rPr>
        <b/>
        <sz val="12"/>
        <rFont val="Arial"/>
        <family val="2"/>
      </rPr>
      <t>YELLOW</t>
    </r>
    <r>
      <rPr>
        <sz val="12"/>
        <rFont val="Arial"/>
        <family val="2"/>
      </rPr>
      <t xml:space="preserve"> please verify all required information is entered and is correct to ensure that the calculations are correct.</t>
    </r>
  </si>
  <si>
    <t>* Added variable hourly rate calculation for Overtime Leave payout.
* Added "Bonus Leave" valid indicator. Maintained by SPO, this field prevents use of Bonus Leave when no hours have been awarded by Governor.
* Added "Lookups and Calculations" tab to simplify making updates to background calculations.
* Added option to turn off field validation messages.</t>
  </si>
  <si>
    <t>* Added Contract Length (Employment Months from PSE305) field.
* Corrected hourly rate calculation to take into account varying contract lengths.
* Added "Revisions" tab.</t>
  </si>
  <si>
    <t>Original version posted to DOA website features include:
* Form drafted in accordance with DHRM leave policies, including banked Traditional Sick Leave effective 7/1/2014.
* Correct/standardized special pay code for paying Recognition Leave balances.
* Automatic calculation of severance period for determining when disability credits and banked traditional sick leave may be paid.</t>
  </si>
  <si>
    <t>Updates and Changes Made</t>
  </si>
  <si>
    <t>* Added 3 blank rows at bottom for agencies to insert additional signature lines.</t>
  </si>
  <si>
    <t>* Added error message, "Contract Length is required to calculate hourly rate".</t>
  </si>
  <si>
    <t>FTE Equivalent</t>
  </si>
  <si>
    <t>Employee Name:</t>
  </si>
  <si>
    <t>EIN:</t>
  </si>
  <si>
    <t>SDP Begin Date for HPIUS:</t>
  </si>
  <si>
    <t>ADJ EMP DATE for HPIUS:</t>
  </si>
  <si>
    <t>PMIS Next Anniversary Date:</t>
  </si>
  <si>
    <t>PMIS Last Anniversary Number:</t>
  </si>
  <si>
    <t>Convert PMIS Anniversary Date to CIPPS Adjusted Employment Date</t>
  </si>
  <si>
    <t>PMIS Next Anniversary Date (Nxt-Ann on PSE305)</t>
  </si>
  <si>
    <t>PMIS Last Anniversary Number (Anniv on PSE305)</t>
  </si>
  <si>
    <t>PMIS Next Anniversary Date</t>
  </si>
  <si>
    <t>Last Anniversary Months</t>
  </si>
  <si>
    <t>Next Anniversary Date Minus Last Ann Months</t>
  </si>
  <si>
    <t>NOTE: The employee’s leave accrual rate calculation includes all cumulative periods of salaried state service. Periods of Leave Without Pay of more than 14 consecutive calendar days normally do NOT count as service. Adjustment of the leave anniversary date is required in PMIS to record such LWOP periods.  This spreadsheet assumes that the PMIS Next Anniversary Date has been adjusted for periods of LWOP.</t>
  </si>
  <si>
    <t>Revised 10/4/2012</t>
  </si>
  <si>
    <t>LTD</t>
  </si>
  <si>
    <t/>
  </si>
  <si>
    <t>Payout Hours (25%)</t>
  </si>
  <si>
    <r>
      <t xml:space="preserve">Applicable No. of Work Hours in Year: </t>
    </r>
    <r>
      <rPr>
        <i/>
        <sz val="8"/>
        <rFont val="Arial"/>
        <family val="2"/>
      </rPr>
      <t>(based on contract length and FTE)</t>
    </r>
  </si>
  <si>
    <t>FTE:</t>
  </si>
  <si>
    <r>
      <t xml:space="preserve">The </t>
    </r>
    <r>
      <rPr>
        <b/>
        <sz val="10"/>
        <rFont val="Arial"/>
        <family val="2"/>
      </rPr>
      <t xml:space="preserve">Lookback Start Date </t>
    </r>
    <r>
      <rPr>
        <sz val="10"/>
        <rFont val="Arial"/>
        <family val="2"/>
      </rPr>
      <t>is the earliest date for determining average hourly rate for Overtime Leave payout.  Since overtime leave is paid by the current agency when transferring, we will only use the previous 3 years at the current agency.  If the employee has not completed 3 years at the current agency, only the salary earned during current agency tenure is necessary.</t>
    </r>
  </si>
  <si>
    <t>Excess Overtime Leave Balance:</t>
  </si>
  <si>
    <t>Public Safety Employee?</t>
  </si>
  <si>
    <t>y</t>
  </si>
  <si>
    <t>n</t>
  </si>
  <si>
    <t>Revised: 10/25/2016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</si>
</sst>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0"/>
    <numFmt numFmtId="165" formatCode="&quot;$&quot;#,##0.00"/>
    <numFmt numFmtId="166" formatCode="mm/dd/yy;@"/>
    <numFmt numFmtId="167" formatCode="000"/>
    <numFmt numFmtId="168" formatCode="_(* #,##0_);_(* \(#,##0\);_(* &quot;-&quot;??_);_(@_)"/>
  </numFmts>
  <fonts count="27" x14ac:knownFonts="1">
    <font>
      <sz val="10"/>
      <name val="Arial"/>
    </font>
    <font>
      <sz val="10"/>
      <name val="Arial"/>
      <family val="2"/>
    </font>
    <font>
      <b/>
      <sz val="10"/>
      <name val="Arial"/>
      <family val="2"/>
    </font>
    <font>
      <b/>
      <sz val="12"/>
      <name val="Comic Sans MS"/>
      <family val="4"/>
    </font>
    <font>
      <b/>
      <sz val="8"/>
      <name val="Arial"/>
      <family val="2"/>
    </font>
    <font>
      <b/>
      <sz val="11"/>
      <name val="Comic Sans MS"/>
      <family val="4"/>
    </font>
    <font>
      <sz val="10"/>
      <name val="Comic Sans MS"/>
      <family val="4"/>
    </font>
    <font>
      <b/>
      <sz val="10"/>
      <name val="Comic Sans MS"/>
      <family val="4"/>
    </font>
    <font>
      <sz val="11"/>
      <name val="Comic Sans MS"/>
      <family val="4"/>
    </font>
    <font>
      <b/>
      <sz val="8"/>
      <name val="Comic Sans MS"/>
      <family val="4"/>
    </font>
    <font>
      <b/>
      <sz val="12"/>
      <name val="Arial"/>
      <family val="2"/>
    </font>
    <font>
      <b/>
      <sz val="11"/>
      <name val="Arial"/>
      <family val="2"/>
    </font>
    <font>
      <b/>
      <sz val="10"/>
      <name val="Arial"/>
      <family val="2"/>
    </font>
    <font>
      <sz val="10"/>
      <color indexed="81"/>
      <name val="Tahoma"/>
      <family val="2"/>
    </font>
    <font>
      <b/>
      <sz val="10"/>
      <color indexed="81"/>
      <name val="Tahoma"/>
      <family val="2"/>
    </font>
    <font>
      <sz val="10"/>
      <name val="Arial"/>
      <family val="2"/>
    </font>
    <font>
      <b/>
      <sz val="12"/>
      <color indexed="10"/>
      <name val="Arial"/>
      <family val="2"/>
    </font>
    <font>
      <sz val="10"/>
      <name val="Arial"/>
      <family val="2"/>
    </font>
    <font>
      <b/>
      <sz val="10"/>
      <color indexed="12"/>
      <name val="Arial"/>
      <family val="2"/>
    </font>
    <font>
      <sz val="12"/>
      <name val="Arial"/>
      <family val="2"/>
    </font>
    <font>
      <sz val="10"/>
      <name val="Wingdings 2"/>
      <family val="1"/>
      <charset val="2"/>
    </font>
    <font>
      <b/>
      <sz val="10"/>
      <color rgb="FFFF0000"/>
      <name val="Arial"/>
      <family val="2"/>
    </font>
    <font>
      <sz val="9"/>
      <name val="Arial"/>
      <family val="2"/>
    </font>
    <font>
      <i/>
      <sz val="8"/>
      <name val="Arial"/>
      <family val="2"/>
    </font>
    <font>
      <u/>
      <sz val="10"/>
      <color theme="10"/>
      <name val="Arial"/>
      <family val="2"/>
    </font>
    <font>
      <u/>
      <sz val="14"/>
      <color theme="10"/>
      <name val="Arial"/>
      <family val="2"/>
    </font>
    <font>
      <sz val="9"/>
      <color indexed="81"/>
      <name val="Tahoma"/>
      <family val="2"/>
    </font>
  </fonts>
  <fills count="9">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CCFFFF"/>
        <bgColor indexed="64"/>
      </patternFill>
    </fill>
    <fill>
      <patternFill patternType="solid">
        <fgColor theme="6"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249977111117893"/>
        <bgColor indexed="64"/>
      </patternFill>
    </fill>
  </fills>
  <borders count="20">
    <border>
      <left/>
      <right/>
      <top/>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alignment vertical="top"/>
      <protection locked="0"/>
    </xf>
  </cellStyleXfs>
  <cellXfs count="192">
    <xf numFmtId="0" fontId="0" fillId="0" borderId="0" xfId="0"/>
    <xf numFmtId="0" fontId="0" fillId="0" borderId="0" xfId="0" applyAlignment="1">
      <alignment horizontal="left"/>
    </xf>
    <xf numFmtId="0" fontId="2" fillId="0" borderId="0" xfId="0" applyFont="1" applyProtection="1"/>
    <xf numFmtId="0" fontId="0" fillId="0" borderId="0" xfId="0" applyProtection="1"/>
    <xf numFmtId="0" fontId="3" fillId="2" borderId="0" xfId="0" applyFont="1" applyFill="1" applyAlignment="1" applyProtection="1">
      <alignment horizontal="center"/>
      <protection locked="0"/>
    </xf>
    <xf numFmtId="0" fontId="6" fillId="2" borderId="0" xfId="0" quotePrefix="1" applyFont="1" applyFill="1" applyAlignment="1" applyProtection="1">
      <alignment horizontal="left"/>
      <protection locked="0"/>
    </xf>
    <xf numFmtId="0" fontId="7" fillId="2" borderId="0" xfId="0" applyFont="1" applyFill="1" applyBorder="1" applyAlignment="1" applyProtection="1">
      <alignment horizontal="center"/>
      <protection locked="0"/>
    </xf>
    <xf numFmtId="166" fontId="6" fillId="2" borderId="0" xfId="0" applyNumberFormat="1" applyFont="1" applyFill="1" applyBorder="1" applyProtection="1">
      <protection locked="0"/>
    </xf>
    <xf numFmtId="0" fontId="0" fillId="0" borderId="0" xfId="0" applyBorder="1"/>
    <xf numFmtId="0" fontId="2" fillId="0" borderId="0" xfId="0" applyFont="1" applyBorder="1"/>
    <xf numFmtId="2" fontId="0" fillId="0" borderId="0" xfId="0" applyNumberFormat="1" applyProtection="1">
      <protection hidden="1"/>
    </xf>
    <xf numFmtId="0" fontId="0" fillId="0" borderId="0" xfId="0" quotePrefix="1" applyAlignment="1">
      <alignment horizontal="right"/>
    </xf>
    <xf numFmtId="14" fontId="0" fillId="0" borderId="1" xfId="0" applyNumberFormat="1" applyBorder="1" applyProtection="1"/>
    <xf numFmtId="0" fontId="17" fillId="0" borderId="0" xfId="0" applyFont="1"/>
    <xf numFmtId="0" fontId="0" fillId="0" borderId="0" xfId="0" quotePrefix="1"/>
    <xf numFmtId="0" fontId="0" fillId="0" borderId="0" xfId="0" applyAlignment="1"/>
    <xf numFmtId="0" fontId="0" fillId="0" borderId="0" xfId="0" applyBorder="1" applyAlignment="1"/>
    <xf numFmtId="164" fontId="7" fillId="2" borderId="2" xfId="0" applyNumberFormat="1" applyFont="1" applyFill="1" applyBorder="1" applyAlignment="1" applyProtection="1">
      <alignment horizontal="center"/>
      <protection locked="0"/>
    </xf>
    <xf numFmtId="164" fontId="2" fillId="2" borderId="2" xfId="0" applyNumberFormat="1" applyFont="1" applyFill="1" applyBorder="1" applyAlignment="1" applyProtection="1">
      <alignment horizontal="center"/>
      <protection locked="0"/>
    </xf>
    <xf numFmtId="0" fontId="2" fillId="0" borderId="2" xfId="0" applyFont="1" applyFill="1" applyBorder="1" applyAlignment="1" applyProtection="1">
      <alignment horizontal="right"/>
    </xf>
    <xf numFmtId="0" fontId="2" fillId="0" borderId="2" xfId="0" quotePrefix="1" applyFont="1" applyFill="1" applyBorder="1" applyAlignment="1" applyProtection="1">
      <alignment horizontal="right"/>
    </xf>
    <xf numFmtId="0" fontId="2" fillId="0" borderId="2" xfId="0" applyFont="1" applyFill="1" applyBorder="1" applyAlignment="1" applyProtection="1">
      <alignment horizontal="right"/>
      <protection locked="0"/>
    </xf>
    <xf numFmtId="0" fontId="0" fillId="0" borderId="0" xfId="0" applyFill="1" applyProtection="1"/>
    <xf numFmtId="0" fontId="0" fillId="0" borderId="0" xfId="0" applyAlignment="1" applyProtection="1">
      <alignment horizontal="right"/>
    </xf>
    <xf numFmtId="0" fontId="4" fillId="0" borderId="0" xfId="0" applyFont="1" applyProtection="1"/>
    <xf numFmtId="0" fontId="0" fillId="0" borderId="0" xfId="0" applyAlignment="1" applyProtection="1">
      <alignment horizontal="center"/>
    </xf>
    <xf numFmtId="0" fontId="2" fillId="0" borderId="0" xfId="0" applyFont="1" applyAlignment="1" applyProtection="1">
      <alignment horizontal="left"/>
    </xf>
    <xf numFmtId="0" fontId="0" fillId="0" borderId="0" xfId="0" applyAlignment="1" applyProtection="1">
      <alignment horizontal="left"/>
    </xf>
    <xf numFmtId="0" fontId="2" fillId="3" borderId="0" xfId="0" applyFont="1" applyFill="1" applyProtection="1"/>
    <xf numFmtId="0" fontId="6" fillId="0" borderId="0" xfId="0" applyFont="1" applyProtection="1"/>
    <xf numFmtId="0" fontId="0" fillId="0" borderId="0" xfId="0" applyBorder="1" applyProtection="1"/>
    <xf numFmtId="0" fontId="17" fillId="0" borderId="0" xfId="0" quotePrefix="1" applyFont="1"/>
    <xf numFmtId="0" fontId="0" fillId="0" borderId="0" xfId="0" quotePrefix="1" applyBorder="1" applyAlignment="1">
      <alignment wrapText="1"/>
    </xf>
    <xf numFmtId="0" fontId="2" fillId="0" borderId="0" xfId="0" applyFont="1" applyAlignment="1" applyProtection="1">
      <alignment horizontal="center"/>
    </xf>
    <xf numFmtId="0" fontId="20" fillId="0" borderId="0" xfId="0" applyFont="1"/>
    <xf numFmtId="0" fontId="2" fillId="0" borderId="0" xfId="0" quotePrefix="1" applyFont="1" applyAlignment="1" applyProtection="1">
      <alignment horizontal="center" wrapText="1"/>
    </xf>
    <xf numFmtId="0" fontId="2" fillId="0" borderId="0" xfId="0" applyFont="1" applyAlignment="1" applyProtection="1">
      <alignment horizontal="center" wrapText="1"/>
    </xf>
    <xf numFmtId="0" fontId="2" fillId="0" borderId="3" xfId="0" quotePrefix="1" applyFont="1" applyFill="1" applyBorder="1" applyAlignment="1" applyProtection="1">
      <alignment horizontal="center" wrapText="1"/>
    </xf>
    <xf numFmtId="0" fontId="2" fillId="0" borderId="3" xfId="0" applyFont="1" applyFill="1" applyBorder="1" applyAlignment="1" applyProtection="1">
      <alignment horizontal="center" wrapText="1"/>
    </xf>
    <xf numFmtId="0" fontId="2" fillId="5" borderId="0" xfId="0" applyFont="1" applyFill="1" applyProtection="1"/>
    <xf numFmtId="164" fontId="0" fillId="0" borderId="0" xfId="0" applyNumberFormat="1" applyAlignment="1" applyProtection="1">
      <alignment horizontal="center"/>
    </xf>
    <xf numFmtId="39" fontId="0" fillId="0" borderId="0" xfId="0" applyNumberFormat="1" applyAlignment="1" applyProtection="1">
      <alignment horizontal="center"/>
    </xf>
    <xf numFmtId="167" fontId="0" fillId="0" borderId="0" xfId="0" quotePrefix="1" applyNumberFormat="1" applyAlignment="1" applyProtection="1">
      <alignment horizontal="center"/>
    </xf>
    <xf numFmtId="44" fontId="10" fillId="5" borderId="3" xfId="1" applyFont="1" applyFill="1" applyBorder="1" applyProtection="1"/>
    <xf numFmtId="0" fontId="0" fillId="0" borderId="0" xfId="0" quotePrefix="1" applyAlignment="1" applyProtection="1">
      <alignment horizontal="left"/>
    </xf>
    <xf numFmtId="0" fontId="2" fillId="5" borderId="0" xfId="0" quotePrefix="1" applyFont="1" applyFill="1" applyAlignment="1" applyProtection="1">
      <alignment horizontal="left"/>
    </xf>
    <xf numFmtId="2" fontId="0" fillId="0" borderId="0" xfId="0" applyNumberFormat="1" applyAlignment="1" applyProtection="1">
      <alignment horizontal="center"/>
    </xf>
    <xf numFmtId="167" fontId="0" fillId="0" borderId="0" xfId="0" applyNumberFormat="1" applyAlignment="1" applyProtection="1">
      <alignment horizontal="center"/>
    </xf>
    <xf numFmtId="164" fontId="0" fillId="0" borderId="0" xfId="0" applyNumberFormat="1" applyProtection="1"/>
    <xf numFmtId="44" fontId="10" fillId="5" borderId="3" xfId="0" applyNumberFormat="1" applyFont="1" applyFill="1" applyBorder="1" applyProtection="1"/>
    <xf numFmtId="0" fontId="2" fillId="0" borderId="0" xfId="0" applyFont="1" applyFill="1" applyProtection="1"/>
    <xf numFmtId="164" fontId="0" fillId="0" borderId="0" xfId="0" applyNumberFormat="1" applyFill="1" applyAlignment="1" applyProtection="1">
      <alignment horizontal="center"/>
    </xf>
    <xf numFmtId="0" fontId="0" fillId="0" borderId="0" xfId="0" applyFill="1" applyAlignment="1" applyProtection="1">
      <alignment horizontal="center"/>
    </xf>
    <xf numFmtId="2" fontId="0" fillId="0" borderId="0" xfId="0" applyNumberFormat="1" applyFill="1" applyAlignment="1" applyProtection="1">
      <alignment horizontal="center"/>
    </xf>
    <xf numFmtId="0" fontId="0" fillId="0" borderId="0" xfId="0" applyFill="1" applyAlignment="1" applyProtection="1">
      <alignment horizontal="right"/>
    </xf>
    <xf numFmtId="0" fontId="11" fillId="0" borderId="0" xfId="0" applyFont="1" applyFill="1" applyAlignment="1" applyProtection="1">
      <alignment horizontal="center"/>
    </xf>
    <xf numFmtId="165" fontId="0" fillId="0" borderId="0" xfId="0" applyNumberFormat="1" applyProtection="1"/>
    <xf numFmtId="0" fontId="2" fillId="0" borderId="0" xfId="0" applyFont="1" applyAlignment="1" applyProtection="1"/>
    <xf numFmtId="0" fontId="0" fillId="0" borderId="0" xfId="0" applyAlignment="1" applyProtection="1"/>
    <xf numFmtId="0" fontId="12" fillId="0" borderId="1" xfId="0" applyFont="1" applyBorder="1" applyProtection="1"/>
    <xf numFmtId="0" fontId="0" fillId="0" borderId="1" xfId="0" applyBorder="1" applyProtection="1"/>
    <xf numFmtId="0" fontId="12" fillId="0" borderId="0" xfId="0" applyFont="1" applyBorder="1" applyAlignment="1" applyProtection="1">
      <alignment horizontal="right"/>
    </xf>
    <xf numFmtId="0" fontId="2" fillId="0" borderId="0" xfId="0" applyFont="1" applyAlignment="1" applyProtection="1">
      <alignment horizontal="left"/>
    </xf>
    <xf numFmtId="0" fontId="21" fillId="0"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0" fillId="0" borderId="8" xfId="0" applyBorder="1" applyProtection="1"/>
    <xf numFmtId="0" fontId="22" fillId="0" borderId="0" xfId="0" applyFont="1" applyBorder="1" applyAlignment="1" applyProtection="1"/>
    <xf numFmtId="0" fontId="22" fillId="0" borderId="3" xfId="0" applyFont="1" applyBorder="1" applyAlignment="1" applyProtection="1"/>
    <xf numFmtId="0" fontId="15" fillId="0" borderId="0" xfId="0" applyFont="1" applyProtection="1"/>
    <xf numFmtId="0" fontId="17" fillId="0" borderId="0" xfId="0" applyFont="1" applyProtection="1"/>
    <xf numFmtId="0" fontId="0" fillId="0" borderId="0" xfId="0" quotePrefix="1" applyAlignment="1" applyProtection="1">
      <alignment horizontal="right"/>
    </xf>
    <xf numFmtId="0" fontId="22" fillId="0" borderId="10" xfId="0" applyFont="1" applyBorder="1" applyAlignment="1" applyProtection="1">
      <alignment horizontal="right"/>
    </xf>
    <xf numFmtId="0" fontId="0" fillId="0" borderId="9" xfId="0" applyBorder="1" applyProtection="1"/>
    <xf numFmtId="0" fontId="22" fillId="0" borderId="7" xfId="0" applyFont="1" applyBorder="1" applyAlignment="1" applyProtection="1">
      <alignment horizontal="right"/>
    </xf>
    <xf numFmtId="166" fontId="6" fillId="7" borderId="0" xfId="0" applyNumberFormat="1" applyFont="1" applyFill="1" applyBorder="1" applyProtection="1"/>
    <xf numFmtId="166" fontId="6" fillId="7" borderId="3" xfId="0" applyNumberFormat="1" applyFont="1" applyFill="1" applyBorder="1" applyProtection="1"/>
    <xf numFmtId="44" fontId="6" fillId="7" borderId="0" xfId="1" applyFont="1" applyFill="1" applyBorder="1" applyProtection="1"/>
    <xf numFmtId="44" fontId="6" fillId="7" borderId="3" xfId="1" applyFont="1" applyFill="1" applyBorder="1" applyProtection="1"/>
    <xf numFmtId="0" fontId="15" fillId="0" borderId="0" xfId="0" applyFont="1" applyAlignment="1" applyProtection="1">
      <alignment horizontal="right"/>
    </xf>
    <xf numFmtId="0" fontId="15" fillId="0" borderId="0" xfId="0" applyFont="1" applyAlignment="1" applyProtection="1">
      <alignment horizontal="left"/>
    </xf>
    <xf numFmtId="44" fontId="0" fillId="0" borderId="0" xfId="0" applyNumberFormat="1" applyProtection="1"/>
    <xf numFmtId="2" fontId="0" fillId="0" borderId="0" xfId="0" applyNumberFormat="1" applyProtection="1"/>
    <xf numFmtId="44" fontId="6" fillId="7" borderId="13" xfId="1" applyFont="1" applyFill="1" applyBorder="1" applyProtection="1"/>
    <xf numFmtId="0" fontId="2" fillId="6" borderId="0" xfId="0" applyFont="1" applyFill="1" applyAlignment="1" applyProtection="1">
      <alignment horizontal="center"/>
    </xf>
    <xf numFmtId="0" fontId="2" fillId="0" borderId="0" xfId="0" quotePrefix="1" applyFont="1" applyAlignment="1"/>
    <xf numFmtId="0" fontId="2" fillId="0" borderId="0" xfId="0" applyFont="1" applyAlignment="1"/>
    <xf numFmtId="0" fontId="19" fillId="0" borderId="0" xfId="0" applyFont="1" applyAlignment="1">
      <alignment horizontal="left" wrapText="1"/>
    </xf>
    <xf numFmtId="0" fontId="2" fillId="0" borderId="0" xfId="0" applyFont="1" applyAlignment="1">
      <alignment wrapText="1"/>
    </xf>
    <xf numFmtId="0" fontId="2" fillId="0" borderId="0" xfId="0" applyFont="1" applyAlignment="1">
      <alignment horizontal="left" wrapText="1"/>
    </xf>
    <xf numFmtId="0" fontId="15" fillId="0" borderId="0" xfId="0" applyFont="1" applyAlignment="1" applyProtection="1">
      <alignment wrapText="1"/>
    </xf>
    <xf numFmtId="44" fontId="2" fillId="5" borderId="0" xfId="1" applyFont="1" applyFill="1" applyProtection="1"/>
    <xf numFmtId="166" fontId="8" fillId="2" borderId="0" xfId="0" quotePrefix="1" applyNumberFormat="1" applyFont="1" applyFill="1" applyBorder="1" applyAlignment="1" applyProtection="1">
      <alignment horizontal="right"/>
      <protection locked="0"/>
    </xf>
    <xf numFmtId="1" fontId="8" fillId="0" borderId="0" xfId="0" applyNumberFormat="1" applyFont="1" applyFill="1" applyBorder="1" applyProtection="1"/>
    <xf numFmtId="0" fontId="6" fillId="0" borderId="0" xfId="0" applyFont="1" applyBorder="1" applyProtection="1"/>
    <xf numFmtId="0" fontId="6" fillId="0" borderId="6" xfId="0" applyFont="1" applyBorder="1" applyProtection="1"/>
    <xf numFmtId="0" fontId="9" fillId="2" borderId="8" xfId="0" applyFont="1" applyFill="1" applyBorder="1" applyAlignment="1" applyProtection="1">
      <alignment horizontal="center"/>
      <protection locked="0"/>
    </xf>
    <xf numFmtId="0" fontId="9" fillId="0" borderId="6" xfId="0" applyFont="1" applyFill="1" applyBorder="1" applyAlignment="1" applyProtection="1">
      <alignment horizontal="center"/>
    </xf>
    <xf numFmtId="0" fontId="9" fillId="4" borderId="8" xfId="0" applyFont="1" applyFill="1" applyBorder="1" applyAlignment="1" applyProtection="1">
      <alignment horizontal="center"/>
      <protection locked="0"/>
    </xf>
    <xf numFmtId="0" fontId="22" fillId="0" borderId="14" xfId="0" applyFont="1" applyBorder="1" applyAlignment="1">
      <alignment horizontal="right"/>
    </xf>
    <xf numFmtId="0" fontId="22" fillId="0" borderId="16" xfId="0" applyFont="1" applyBorder="1" applyAlignment="1">
      <alignment horizontal="right"/>
    </xf>
    <xf numFmtId="166" fontId="6" fillId="2" borderId="17" xfId="0" applyNumberFormat="1" applyFont="1" applyFill="1" applyBorder="1" applyProtection="1">
      <protection locked="0"/>
    </xf>
    <xf numFmtId="0" fontId="22" fillId="0" borderId="17" xfId="0" applyFont="1" applyBorder="1" applyAlignment="1" applyProtection="1"/>
    <xf numFmtId="0" fontId="2" fillId="0" borderId="0" xfId="0" applyFont="1" applyBorder="1" applyAlignment="1"/>
    <xf numFmtId="44" fontId="8" fillId="2" borderId="15" xfId="1" applyFont="1" applyFill="1" applyBorder="1" applyProtection="1">
      <protection locked="0"/>
    </xf>
    <xf numFmtId="44" fontId="8" fillId="2" borderId="18" xfId="1" applyFont="1" applyFill="1" applyBorder="1" applyProtection="1">
      <protection locked="0"/>
    </xf>
    <xf numFmtId="44" fontId="8" fillId="2" borderId="6" xfId="1" applyFont="1" applyFill="1" applyBorder="1" applyProtection="1">
      <protection locked="0"/>
    </xf>
    <xf numFmtId="44" fontId="6" fillId="0" borderId="8" xfId="1" applyFont="1" applyBorder="1" applyProtection="1"/>
    <xf numFmtId="0" fontId="22" fillId="0" borderId="0" xfId="0" applyFont="1" applyAlignment="1" applyProtection="1">
      <alignment horizontal="left"/>
    </xf>
    <xf numFmtId="44" fontId="10" fillId="5" borderId="3" xfId="0" applyNumberFormat="1" applyFont="1" applyFill="1" applyBorder="1" applyAlignment="1" applyProtection="1">
      <alignment horizontal="center"/>
    </xf>
    <xf numFmtId="164" fontId="7" fillId="2" borderId="0" xfId="0" applyNumberFormat="1" applyFont="1" applyFill="1" applyBorder="1" applyAlignment="1" applyProtection="1">
      <alignment horizontal="center"/>
      <protection locked="0"/>
    </xf>
    <xf numFmtId="0" fontId="0" fillId="7" borderId="0" xfId="0" applyFill="1" applyProtection="1"/>
    <xf numFmtId="168" fontId="2" fillId="5" borderId="0" xfId="2" applyNumberFormat="1" applyFont="1" applyFill="1" applyProtection="1"/>
    <xf numFmtId="0" fontId="15" fillId="0" borderId="0" xfId="0" applyFont="1" applyAlignment="1">
      <alignment horizontal="left" vertical="top" wrapText="1"/>
    </xf>
    <xf numFmtId="0" fontId="0" fillId="0" borderId="0" xfId="0" applyAlignment="1">
      <alignment vertical="top"/>
    </xf>
    <xf numFmtId="0" fontId="15" fillId="0" borderId="0" xfId="0" applyFont="1" applyAlignment="1">
      <alignment horizontal="center" vertical="top"/>
    </xf>
    <xf numFmtId="0" fontId="0" fillId="0" borderId="0" xfId="0" applyAlignment="1">
      <alignment horizontal="center" vertical="top"/>
    </xf>
    <xf numFmtId="0" fontId="15" fillId="0" borderId="0" xfId="0" applyFont="1" applyAlignment="1">
      <alignment vertical="top" wrapText="1"/>
    </xf>
    <xf numFmtId="0" fontId="0" fillId="8" borderId="0" xfId="0" applyFill="1" applyProtection="1"/>
    <xf numFmtId="0" fontId="2" fillId="8" borderId="0" xfId="0" applyFont="1" applyFill="1" applyAlignment="1" applyProtection="1">
      <alignment horizontal="left" vertical="top" wrapText="1"/>
    </xf>
    <xf numFmtId="0" fontId="2" fillId="0" borderId="0" xfId="0" applyFont="1" applyAlignment="1">
      <alignment horizontal="center" wrapText="1"/>
    </xf>
    <xf numFmtId="0" fontId="19" fillId="0" borderId="0" xfId="0" quotePrefix="1" applyFont="1" applyAlignment="1">
      <alignment wrapText="1"/>
    </xf>
    <xf numFmtId="0" fontId="19" fillId="0" borderId="0" xfId="0" applyFont="1" applyAlignment="1">
      <alignment wrapText="1"/>
    </xf>
    <xf numFmtId="0" fontId="10" fillId="0" borderId="0" xfId="0" applyFont="1" applyAlignment="1">
      <alignment horizontal="left" wrapText="1"/>
    </xf>
    <xf numFmtId="0" fontId="25" fillId="0" borderId="0" xfId="3" applyFont="1" applyAlignment="1" applyProtection="1">
      <alignment horizontal="center" wrapText="1"/>
    </xf>
    <xf numFmtId="0" fontId="0" fillId="0" borderId="0" xfId="0" applyProtection="1">
      <protection locked="0"/>
    </xf>
    <xf numFmtId="14" fontId="15" fillId="0" borderId="0" xfId="0" applyNumberFormat="1" applyFont="1" applyAlignment="1">
      <alignment horizontal="center" vertical="top"/>
    </xf>
    <xf numFmtId="14" fontId="0" fillId="0" borderId="0" xfId="0" applyNumberFormat="1" applyAlignment="1">
      <alignment horizontal="center" vertical="top"/>
    </xf>
    <xf numFmtId="0" fontId="1" fillId="0" borderId="0" xfId="0" applyFont="1" applyAlignment="1">
      <alignment horizontal="left" vertical="top" wrapText="1"/>
    </xf>
    <xf numFmtId="0" fontId="1" fillId="0" borderId="0" xfId="0" applyFont="1" applyAlignment="1">
      <alignment horizontal="center" vertical="top"/>
    </xf>
    <xf numFmtId="9" fontId="8" fillId="2" borderId="13" xfId="1" applyNumberFormat="1" applyFont="1" applyFill="1" applyBorder="1" applyProtection="1">
      <protection locked="0"/>
    </xf>
    <xf numFmtId="0" fontId="0" fillId="0" borderId="0" xfId="0" applyFont="1" applyFill="1" applyBorder="1"/>
    <xf numFmtId="0" fontId="2" fillId="0" borderId="0" xfId="0" applyFont="1" applyFill="1" applyBorder="1" applyAlignment="1">
      <alignment horizontal="center"/>
    </xf>
    <xf numFmtId="0" fontId="0" fillId="0" borderId="0" xfId="0" applyFont="1" applyFill="1" applyBorder="1" applyAlignment="1"/>
    <xf numFmtId="0" fontId="2" fillId="0" borderId="0" xfId="0" applyFont="1" applyFill="1" applyBorder="1"/>
    <xf numFmtId="14" fontId="2" fillId="0" borderId="0" xfId="0" applyNumberFormat="1" applyFont="1" applyFill="1" applyBorder="1"/>
    <xf numFmtId="1" fontId="2" fillId="0" borderId="0" xfId="0" applyNumberFormat="1" applyFont="1" applyFill="1" applyBorder="1"/>
    <xf numFmtId="0" fontId="2" fillId="0" borderId="0" xfId="0" applyFont="1" applyFill="1" applyBorder="1" applyAlignment="1">
      <alignment horizontal="right"/>
    </xf>
    <xf numFmtId="14" fontId="2" fillId="0" borderId="19" xfId="0" applyNumberFormat="1" applyFont="1" applyFill="1" applyBorder="1"/>
    <xf numFmtId="0" fontId="0" fillId="0" borderId="0" xfId="0" applyFont="1" applyFill="1" applyBorder="1" applyAlignment="1">
      <alignment horizontal="left" vertical="top" wrapText="1"/>
    </xf>
    <xf numFmtId="14" fontId="7" fillId="2" borderId="0" xfId="0" applyNumberFormat="1" applyFont="1" applyFill="1" applyBorder="1" applyProtection="1">
      <protection locked="0"/>
    </xf>
    <xf numFmtId="1" fontId="7" fillId="2" borderId="0" xfId="0" applyNumberFormat="1" applyFont="1" applyFill="1" applyBorder="1" applyProtection="1">
      <protection locked="0"/>
    </xf>
    <xf numFmtId="14" fontId="7" fillId="0" borderId="0" xfId="0" applyNumberFormat="1" applyFont="1" applyFill="1" applyBorder="1" applyProtection="1"/>
    <xf numFmtId="0" fontId="1" fillId="2" borderId="5" xfId="0" quotePrefix="1" applyFont="1" applyFill="1" applyBorder="1" applyAlignment="1" applyProtection="1">
      <alignment horizontal="left"/>
      <protection locked="0"/>
    </xf>
    <xf numFmtId="0" fontId="0" fillId="0" borderId="0" xfId="0" applyAlignment="1" applyProtection="1">
      <alignment horizontal="center"/>
    </xf>
    <xf numFmtId="9" fontId="0" fillId="7" borderId="0" xfId="0" applyNumberFormat="1" applyFill="1" applyProtection="1"/>
    <xf numFmtId="0" fontId="0" fillId="0" borderId="0" xfId="0" applyAlignment="1" applyProtection="1">
      <alignment horizontal="center"/>
    </xf>
    <xf numFmtId="0" fontId="2" fillId="0" borderId="0" xfId="0" applyFont="1" applyBorder="1" applyAlignment="1" applyProtection="1">
      <alignment horizontal="left"/>
    </xf>
    <xf numFmtId="0" fontId="2" fillId="0" borderId="11" xfId="0" applyFont="1" applyBorder="1" applyAlignment="1" applyProtection="1">
      <alignment horizontal="left"/>
    </xf>
    <xf numFmtId="0" fontId="0" fillId="0" borderId="12" xfId="0" applyBorder="1" applyAlignment="1" applyProtection="1">
      <alignment horizontal="left"/>
    </xf>
    <xf numFmtId="0" fontId="21" fillId="0" borderId="3" xfId="0" applyFont="1" applyFill="1" applyBorder="1" applyAlignment="1" applyProtection="1">
      <alignment horizontal="center"/>
    </xf>
    <xf numFmtId="0" fontId="2" fillId="0" borderId="0" xfId="0" quotePrefix="1" applyFont="1" applyBorder="1" applyAlignment="1" applyProtection="1">
      <alignment horizontal="left"/>
    </xf>
    <xf numFmtId="0" fontId="2" fillId="0" borderId="7" xfId="0" applyFont="1" applyBorder="1" applyAlignment="1" applyProtection="1">
      <alignment horizontal="left"/>
    </xf>
    <xf numFmtId="0" fontId="2" fillId="0" borderId="3" xfId="0" applyFont="1" applyBorder="1" applyAlignment="1" applyProtection="1">
      <alignment horizontal="left"/>
    </xf>
    <xf numFmtId="0" fontId="2" fillId="0" borderId="14" xfId="0" applyFont="1" applyBorder="1" applyAlignment="1">
      <alignment horizontal="center"/>
    </xf>
    <xf numFmtId="0" fontId="2" fillId="0" borderId="0" xfId="0" applyFont="1" applyBorder="1" applyAlignment="1">
      <alignment horizontal="center"/>
    </xf>
    <xf numFmtId="0" fontId="2" fillId="0" borderId="15" xfId="0" applyFont="1" applyBorder="1" applyAlignment="1">
      <alignment horizontal="center"/>
    </xf>
    <xf numFmtId="0" fontId="21" fillId="0" borderId="0" xfId="0" applyFont="1" applyFill="1" applyBorder="1" applyAlignment="1" applyProtection="1">
      <alignment horizontal="center" vertical="center" wrapText="1"/>
    </xf>
    <xf numFmtId="0" fontId="21" fillId="0" borderId="1" xfId="0" applyFont="1" applyFill="1" applyBorder="1" applyAlignment="1" applyProtection="1">
      <alignment horizontal="center"/>
    </xf>
    <xf numFmtId="0" fontId="21" fillId="0" borderId="1" xfId="0" applyFont="1" applyBorder="1" applyAlignment="1" applyProtection="1">
      <alignment horizontal="center"/>
    </xf>
    <xf numFmtId="0" fontId="2" fillId="0" borderId="4" xfId="0" applyFont="1" applyBorder="1" applyAlignment="1" applyProtection="1">
      <alignment horizontal="left"/>
    </xf>
    <xf numFmtId="0" fontId="2" fillId="0" borderId="5" xfId="0" applyFont="1" applyBorder="1" applyAlignment="1" applyProtection="1">
      <alignment horizontal="left"/>
    </xf>
    <xf numFmtId="0" fontId="2" fillId="0" borderId="0" xfId="0" quotePrefix="1" applyFont="1" applyAlignment="1" applyProtection="1">
      <alignment horizontal="center"/>
    </xf>
    <xf numFmtId="0" fontId="16" fillId="0" borderId="0" xfId="0" applyFont="1" applyAlignment="1" applyProtection="1">
      <alignment horizontal="center"/>
    </xf>
    <xf numFmtId="0" fontId="12" fillId="0" borderId="0" xfId="0" quotePrefix="1" applyFont="1" applyAlignment="1" applyProtection="1">
      <alignment horizontal="left" wrapText="1"/>
    </xf>
    <xf numFmtId="0" fontId="0" fillId="0" borderId="0" xfId="0" applyAlignment="1" applyProtection="1">
      <alignment wrapText="1"/>
    </xf>
    <xf numFmtId="0" fontId="2" fillId="0" borderId="0" xfId="0" applyFont="1" applyAlignment="1" applyProtection="1">
      <alignment horizontal="center"/>
    </xf>
    <xf numFmtId="0" fontId="2" fillId="0" borderId="0" xfId="0" applyFont="1" applyAlignment="1" applyProtection="1">
      <alignment horizontal="left"/>
    </xf>
    <xf numFmtId="0" fontId="0" fillId="0" borderId="0" xfId="0" applyAlignment="1" applyProtection="1">
      <alignment horizontal="left"/>
    </xf>
    <xf numFmtId="0" fontId="0" fillId="0" borderId="5" xfId="0" applyBorder="1" applyAlignment="1" applyProtection="1">
      <alignment horizontal="left"/>
    </xf>
    <xf numFmtId="0" fontId="0" fillId="0" borderId="3" xfId="0" applyBorder="1" applyAlignment="1" applyProtection="1">
      <alignment horizontal="left"/>
    </xf>
    <xf numFmtId="0" fontId="4" fillId="0" borderId="0" xfId="0" quotePrefix="1" applyFont="1" applyAlignment="1" applyProtection="1">
      <alignment horizontal="right"/>
    </xf>
    <xf numFmtId="0" fontId="0" fillId="0" borderId="0" xfId="0" applyAlignment="1" applyProtection="1">
      <alignment horizontal="right"/>
    </xf>
    <xf numFmtId="0" fontId="15" fillId="0" borderId="0" xfId="0" quotePrefix="1" applyFont="1" applyAlignment="1" applyProtection="1">
      <alignment horizontal="left" wrapText="1"/>
    </xf>
    <xf numFmtId="0" fontId="0" fillId="0" borderId="0" xfId="0" applyAlignment="1" applyProtection="1">
      <alignment horizontal="left" wrapText="1"/>
    </xf>
    <xf numFmtId="14" fontId="5" fillId="2" borderId="3" xfId="0" quotePrefix="1" applyNumberFormat="1" applyFont="1" applyFill="1" applyBorder="1" applyAlignment="1" applyProtection="1">
      <alignment horizontal="center"/>
      <protection locked="0"/>
    </xf>
    <xf numFmtId="0" fontId="3" fillId="2" borderId="0" xfId="0" applyFont="1" applyFill="1" applyAlignment="1" applyProtection="1">
      <alignment horizontal="left"/>
      <protection locked="0"/>
    </xf>
    <xf numFmtId="0" fontId="2" fillId="0" borderId="0" xfId="0" quotePrefix="1" applyFont="1" applyFill="1" applyAlignment="1" applyProtection="1">
      <alignment horizontal="right"/>
    </xf>
    <xf numFmtId="0" fontId="2" fillId="0" borderId="0" xfId="0" applyFont="1" applyFill="1" applyAlignment="1" applyProtection="1"/>
    <xf numFmtId="0" fontId="0" fillId="0" borderId="0" xfId="0" applyAlignment="1"/>
    <xf numFmtId="0" fontId="2" fillId="0" borderId="0" xfId="0" applyFont="1" applyAlignment="1" applyProtection="1">
      <alignment horizontal="left" wrapText="1"/>
    </xf>
    <xf numFmtId="0" fontId="2" fillId="0" borderId="0" xfId="0" quotePrefix="1" applyFont="1" applyAlignment="1" applyProtection="1">
      <alignment horizontal="left"/>
    </xf>
    <xf numFmtId="0" fontId="1" fillId="0" borderId="0" xfId="0" applyFont="1" applyAlignment="1" applyProtection="1">
      <alignment horizontal="left" vertical="top" wrapText="1"/>
    </xf>
    <xf numFmtId="0" fontId="15" fillId="0" borderId="0" xfId="0" applyFont="1" applyAlignment="1" applyProtection="1">
      <alignment horizontal="left" vertical="top" wrapText="1"/>
    </xf>
    <xf numFmtId="0" fontId="2" fillId="0" borderId="0" xfId="0" applyFont="1" applyAlignment="1" applyProtection="1">
      <alignment horizontal="left" vertical="top" wrapText="1"/>
    </xf>
    <xf numFmtId="0" fontId="15" fillId="0" borderId="0" xfId="0" applyFont="1" applyFill="1" applyBorder="1" applyAlignment="1" applyProtection="1">
      <alignment horizontal="left" vertical="top" wrapText="1"/>
    </xf>
    <xf numFmtId="0" fontId="2" fillId="0" borderId="4" xfId="0" applyFont="1" applyBorder="1" applyAlignment="1" applyProtection="1">
      <alignment horizontal="center"/>
    </xf>
    <xf numFmtId="0" fontId="2" fillId="0" borderId="5" xfId="0" applyFont="1" applyBorder="1" applyAlignment="1" applyProtection="1">
      <alignment horizontal="center"/>
    </xf>
    <xf numFmtId="0" fontId="2" fillId="0" borderId="6" xfId="0" applyFont="1" applyBorder="1" applyAlignment="1" applyProtection="1">
      <alignment horizontal="center"/>
    </xf>
    <xf numFmtId="0" fontId="2" fillId="0" borderId="0" xfId="0" applyFont="1" applyFill="1" applyBorder="1" applyAlignment="1">
      <alignment horizontal="center"/>
    </xf>
    <xf numFmtId="0" fontId="0" fillId="0" borderId="0" xfId="0" applyFont="1" applyFill="1" applyBorder="1" applyAlignment="1"/>
    <xf numFmtId="0" fontId="2" fillId="0" borderId="0" xfId="0" applyFont="1" applyFill="1" applyBorder="1" applyAlignment="1">
      <alignment horizontal="left" vertical="top" wrapText="1"/>
    </xf>
    <xf numFmtId="0" fontId="0" fillId="0" borderId="0" xfId="0" applyFont="1" applyFill="1" applyBorder="1" applyAlignment="1">
      <alignment horizontal="left" vertical="top" wrapText="1"/>
    </xf>
  </cellXfs>
  <cellStyles count="4">
    <cellStyle name="Comma" xfId="2" builtinId="3"/>
    <cellStyle name="Currency" xfId="1" builtinId="4"/>
    <cellStyle name="Hyperlink" xfId="3" builtinId="8"/>
    <cellStyle name="Normal" xfId="0" builtinId="0"/>
  </cellStyles>
  <dxfs count="9">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9"/>
      </font>
      <fill>
        <patternFill patternType="none">
          <bgColor indexed="65"/>
        </patternFill>
      </fill>
    </dxf>
    <dxf>
      <fill>
        <patternFill>
          <bgColor rgb="FFFFFF00"/>
        </patternFill>
      </fill>
    </dxf>
    <dxf>
      <fill>
        <patternFill>
          <bgColor rgb="FFFFFF00"/>
        </patternFill>
      </fill>
    </dxf>
    <dxf>
      <font>
        <condense val="0"/>
        <extend val="0"/>
        <color indexed="9"/>
      </font>
      <fill>
        <patternFill patternType="none">
          <bgColor indexed="65"/>
        </patternFill>
      </fill>
    </dxf>
    <dxf>
      <font>
        <condense val="0"/>
        <extend val="0"/>
        <color indexed="9"/>
      </font>
      <fill>
        <patternFill patternType="none">
          <bgColor indexed="65"/>
        </patternFill>
      </fill>
    </dxf>
  </dxfs>
  <tableStyles count="0" defaultTableStyle="TableStyleMedium9" defaultPivotStyle="PivotStyleLight16"/>
  <colors>
    <mruColors>
      <color rgb="FF28E30F"/>
      <color rgb="FF16F64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19</xdr:row>
          <xdr:rowOff>85725</xdr:rowOff>
        </xdr:from>
        <xdr:to>
          <xdr:col>9</xdr:col>
          <xdr:colOff>333375</xdr:colOff>
          <xdr:row>21</xdr:row>
          <xdr:rowOff>38100</xdr:rowOff>
        </xdr:to>
        <xdr:sp macro="" textlink="">
          <xdr:nvSpPr>
            <xdr:cNvPr id="1085" name="CheckBox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47625</xdr:colOff>
      <xdr:row>38</xdr:row>
      <xdr:rowOff>95250</xdr:rowOff>
    </xdr:from>
    <xdr:to>
      <xdr:col>3</xdr:col>
      <xdr:colOff>962025</xdr:colOff>
      <xdr:row>38</xdr:row>
      <xdr:rowOff>95250</xdr:rowOff>
    </xdr:to>
    <xdr:cxnSp macro="">
      <xdr:nvCxnSpPr>
        <xdr:cNvPr id="4" name="Straight Arrow Connector 3"/>
        <xdr:cNvCxnSpPr/>
      </xdr:nvCxnSpPr>
      <xdr:spPr>
        <a:xfrm flipH="1">
          <a:off x="2171700" y="5534025"/>
          <a:ext cx="91440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2:E60"/>
  <sheetViews>
    <sheetView workbookViewId="0">
      <selection activeCell="A6" sqref="A6"/>
    </sheetView>
  </sheetViews>
  <sheetFormatPr defaultRowHeight="15" x14ac:dyDescent="0.2"/>
  <cols>
    <col min="1" max="1" width="95" style="86" customWidth="1"/>
  </cols>
  <sheetData>
    <row r="2" spans="1:5" ht="30.75" x14ac:dyDescent="0.2">
      <c r="A2" s="120" t="s">
        <v>65</v>
      </c>
      <c r="B2" s="84"/>
      <c r="C2" s="84"/>
      <c r="D2" s="84"/>
    </row>
    <row r="4" spans="1:5" ht="30" x14ac:dyDescent="0.2">
      <c r="A4" s="120" t="s">
        <v>64</v>
      </c>
      <c r="B4" s="84"/>
      <c r="C4" s="84"/>
      <c r="D4" s="84"/>
      <c r="E4" s="84"/>
    </row>
    <row r="6" spans="1:5" ht="30.75" x14ac:dyDescent="0.2">
      <c r="A6" s="121" t="s">
        <v>66</v>
      </c>
      <c r="B6" s="85"/>
      <c r="C6" s="85"/>
      <c r="D6" s="85"/>
      <c r="E6" s="85"/>
    </row>
    <row r="8" spans="1:5" x14ac:dyDescent="0.2">
      <c r="A8" s="121"/>
    </row>
    <row r="9" spans="1:5" ht="18" x14ac:dyDescent="0.25">
      <c r="A9" s="123"/>
    </row>
    <row r="20" spans="1:1" ht="15.75" x14ac:dyDescent="0.25">
      <c r="A20" s="122"/>
    </row>
    <row r="22" spans="1:1" ht="15.75" x14ac:dyDescent="0.25">
      <c r="A22" s="122"/>
    </row>
    <row r="36" spans="1:1" ht="15.75" x14ac:dyDescent="0.25">
      <c r="A36" s="122"/>
    </row>
    <row r="52" spans="1:1" ht="15.75" x14ac:dyDescent="0.25">
      <c r="A52" s="122"/>
    </row>
    <row r="60" spans="1:1" ht="15.75" x14ac:dyDescent="0.25">
      <c r="A60" s="122"/>
    </row>
  </sheetData>
  <sheetProtection password="CC16" sheet="1" objects="1" scenarios="1" selectLockedCells="1"/>
  <pageMargins left="0.7" right="0.7" top="0.75" bottom="0.75" header="0.3" footer="0.3"/>
  <pageSetup scale="9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pageSetUpPr fitToPage="1"/>
  </sheetPr>
  <dimension ref="A1:BD271"/>
  <sheetViews>
    <sheetView tabSelected="1" zoomScaleNormal="100" workbookViewId="0">
      <selection activeCell="C3" sqref="C3"/>
    </sheetView>
  </sheetViews>
  <sheetFormatPr defaultRowHeight="12.75" x14ac:dyDescent="0.2"/>
  <cols>
    <col min="1" max="1" width="13.28515625" customWidth="1"/>
    <col min="2" max="2" width="16.85546875" customWidth="1"/>
    <col min="3" max="3" width="14.28515625" customWidth="1"/>
    <col min="4" max="4" width="10" customWidth="1"/>
    <col min="5" max="5" width="11.5703125" customWidth="1"/>
    <col min="6" max="6" width="10" customWidth="1"/>
    <col min="7" max="7" width="11.5703125" customWidth="1"/>
    <col min="8" max="8" width="10" customWidth="1"/>
    <col min="9" max="9" width="17.42578125" customWidth="1"/>
    <col min="10" max="10" width="10" customWidth="1"/>
    <col min="11" max="11" width="9.140625" hidden="1" customWidth="1"/>
    <col min="12" max="12" width="9.140625" style="15"/>
    <col min="14" max="14" width="9.140625" customWidth="1"/>
    <col min="53" max="53" width="15.85546875" bestFit="1" customWidth="1"/>
    <col min="55" max="55" width="21.7109375" bestFit="1" customWidth="1"/>
  </cols>
  <sheetData>
    <row r="1" spans="1:13" s="1" customFormat="1" x14ac:dyDescent="0.2">
      <c r="A1" s="161" t="s">
        <v>0</v>
      </c>
      <c r="B1" s="165"/>
      <c r="C1" s="165"/>
      <c r="D1" s="165"/>
      <c r="E1" s="165"/>
      <c r="F1" s="165"/>
      <c r="G1" s="165"/>
      <c r="H1" s="165"/>
      <c r="I1" s="165"/>
      <c r="J1" s="165"/>
    </row>
    <row r="2" spans="1:13" s="1" customFormat="1" x14ac:dyDescent="0.2">
      <c r="A2" s="27"/>
      <c r="B2" s="27"/>
      <c r="C2" s="3"/>
      <c r="D2" s="26"/>
      <c r="E2" s="26"/>
      <c r="F2" s="26"/>
      <c r="G2" s="27"/>
      <c r="H2" s="27"/>
      <c r="I2" s="27"/>
      <c r="J2" s="27"/>
    </row>
    <row r="3" spans="1:13" s="1" customFormat="1" ht="19.5" x14ac:dyDescent="0.4">
      <c r="A3" s="2" t="s">
        <v>1</v>
      </c>
      <c r="B3" s="3"/>
      <c r="C3" s="4"/>
      <c r="D3" s="3"/>
      <c r="E3" s="3"/>
      <c r="F3" s="22"/>
      <c r="G3" s="3"/>
      <c r="H3" s="3"/>
      <c r="I3" s="170" t="s">
        <v>98</v>
      </c>
      <c r="J3" s="171"/>
    </row>
    <row r="4" spans="1:13" ht="18" x14ac:dyDescent="0.35">
      <c r="A4" s="24" t="s">
        <v>2</v>
      </c>
      <c r="B4" s="2"/>
      <c r="C4" s="2"/>
      <c r="D4" s="174">
        <v>42552</v>
      </c>
      <c r="E4" s="174"/>
      <c r="F4" s="22"/>
      <c r="G4" s="3"/>
      <c r="H4" s="3"/>
      <c r="I4" s="3"/>
      <c r="J4" s="3"/>
    </row>
    <row r="5" spans="1:13" ht="15.75" x14ac:dyDescent="0.25">
      <c r="A5" s="162" t="str">
        <f>IF(AND(A18&lt;&gt;"",D18=""),"PLEASE ENTER DISPOSITION OF DIS CREDITS IN CELL E14",IF(AND(A21&lt;&gt;"",D21=""),"PLEASE ENTER DISPOSITION OF TSL SICK BALANCE IN CELL H14",IF(OR($C$10="",$C$17="",$D$4="",$C$14="",$I$10=""),"INCOMPLETE",IF(ISERROR(I53),"TOTAL VALUE IS IN ERROR",""))))</f>
        <v/>
      </c>
      <c r="B5" s="162"/>
      <c r="C5" s="162"/>
      <c r="D5" s="162"/>
      <c r="E5" s="162"/>
      <c r="F5" s="162"/>
      <c r="G5" s="162"/>
      <c r="H5" s="162"/>
      <c r="I5" s="162"/>
      <c r="J5" s="162"/>
    </row>
    <row r="6" spans="1:13" x14ac:dyDescent="0.2">
      <c r="A6" s="145" t="s">
        <v>30</v>
      </c>
      <c r="B6" s="145"/>
      <c r="C6" s="145"/>
      <c r="D6" s="145"/>
      <c r="E6" s="145"/>
      <c r="F6" s="145"/>
      <c r="G6" s="145"/>
      <c r="H6" s="145"/>
      <c r="I6" s="145"/>
      <c r="J6" s="145"/>
    </row>
    <row r="7" spans="1:13" x14ac:dyDescent="0.2">
      <c r="A7" s="145" t="s">
        <v>32</v>
      </c>
      <c r="B7" s="145"/>
      <c r="C7" s="145"/>
      <c r="D7" s="145"/>
      <c r="E7" s="145"/>
      <c r="F7" s="145"/>
      <c r="G7" s="145"/>
      <c r="H7" s="145"/>
      <c r="I7" s="145"/>
      <c r="J7" s="145"/>
    </row>
    <row r="8" spans="1:13" ht="19.5" x14ac:dyDescent="0.4">
      <c r="A8" s="166" t="s">
        <v>3</v>
      </c>
      <c r="B8" s="166"/>
      <c r="C8" s="175"/>
      <c r="D8" s="175"/>
      <c r="E8" s="175"/>
      <c r="F8" s="166" t="s">
        <v>4</v>
      </c>
      <c r="G8" s="167"/>
      <c r="H8" s="167"/>
      <c r="I8" s="5"/>
      <c r="J8" s="28"/>
    </row>
    <row r="9" spans="1:13" ht="17.25" customHeight="1" x14ac:dyDescent="0.35">
      <c r="A9" s="146" t="s">
        <v>59</v>
      </c>
      <c r="B9" s="146"/>
      <c r="C9" s="109">
        <v>12</v>
      </c>
      <c r="F9" s="149" t="str">
        <f>IF(AND($I$10&lt;&gt;"",$C$9=""),"Contract Length required to calculate Hourly Rate",IF(ISBLANK(I12),"FTE Equivalent Required to Calculate Hourly Rate",""))</f>
        <v/>
      </c>
      <c r="G9" s="149"/>
      <c r="H9" s="149"/>
      <c r="I9" s="149"/>
    </row>
    <row r="10" spans="1:13" ht="16.5" customHeight="1" x14ac:dyDescent="0.35">
      <c r="A10" s="146" t="s">
        <v>5</v>
      </c>
      <c r="B10" s="146"/>
      <c r="C10" s="6" t="s">
        <v>96</v>
      </c>
      <c r="D10" s="156" t="str">
        <f>IF(AND(C11="Y",OR(C10="N",C10="")),"If TSL Bank Employee is 'Y' VSDP Employee must be 'Y'",IF(AND(C10="Y",C11=""),"please Enter TSL Bank Employee status",""))</f>
        <v/>
      </c>
      <c r="E10" s="156"/>
      <c r="F10" s="159" t="s">
        <v>43</v>
      </c>
      <c r="G10" s="168"/>
      <c r="H10" s="168"/>
      <c r="I10" s="105">
        <v>51448.08</v>
      </c>
      <c r="J10" s="30"/>
    </row>
    <row r="11" spans="1:13" ht="16.5" customHeight="1" x14ac:dyDescent="0.35">
      <c r="A11" s="146" t="s">
        <v>31</v>
      </c>
      <c r="B11" s="146"/>
      <c r="C11" s="109" t="s">
        <v>97</v>
      </c>
      <c r="D11" s="156"/>
      <c r="E11" s="156"/>
      <c r="F11" s="151" t="s">
        <v>44</v>
      </c>
      <c r="G11" s="169"/>
      <c r="H11" s="169"/>
      <c r="I11" s="106">
        <f>IFERROR(ROUND($I$10/'Lookups and Calculations'!$D$4,2),0)</f>
        <v>24.73</v>
      </c>
      <c r="J11" s="30"/>
    </row>
    <row r="12" spans="1:13" ht="16.5" customHeight="1" x14ac:dyDescent="0.35">
      <c r="A12" s="146" t="s">
        <v>78</v>
      </c>
      <c r="B12" s="150"/>
      <c r="C12" s="139">
        <v>44372</v>
      </c>
      <c r="D12" s="63"/>
      <c r="E12" s="63"/>
      <c r="F12" s="147" t="s">
        <v>73</v>
      </c>
      <c r="G12" s="148"/>
      <c r="H12" s="148"/>
      <c r="I12" s="129">
        <v>1</v>
      </c>
      <c r="J12" s="3"/>
    </row>
    <row r="13" spans="1:13" ht="16.5" customHeight="1" x14ac:dyDescent="0.35">
      <c r="A13" s="146" t="s">
        <v>79</v>
      </c>
      <c r="B13" s="150"/>
      <c r="C13" s="140">
        <v>5</v>
      </c>
      <c r="D13" s="64"/>
      <c r="E13" s="64"/>
      <c r="F13" s="153" t="s">
        <v>46</v>
      </c>
      <c r="G13" s="154"/>
      <c r="H13" s="154"/>
      <c r="I13" s="155"/>
      <c r="J13" s="102"/>
      <c r="M13" s="34"/>
    </row>
    <row r="14" spans="1:13" ht="16.5" customHeight="1" x14ac:dyDescent="0.35">
      <c r="A14" s="150" t="s">
        <v>47</v>
      </c>
      <c r="B14" s="150"/>
      <c r="C14" s="141">
        <f>IF(C12="","",'Adjusted Emp Date Calc'!B16)</f>
        <v>40719</v>
      </c>
      <c r="D14" s="64"/>
      <c r="E14" s="64"/>
      <c r="F14" s="98" t="s">
        <v>48</v>
      </c>
      <c r="G14" s="7"/>
      <c r="H14" s="66" t="s">
        <v>49</v>
      </c>
      <c r="I14" s="103"/>
      <c r="J14" s="8"/>
    </row>
    <row r="15" spans="1:13" ht="16.5" customHeight="1" x14ac:dyDescent="0.3">
      <c r="A15" s="150" t="s">
        <v>6</v>
      </c>
      <c r="B15" s="150"/>
      <c r="C15" s="91">
        <v>42621</v>
      </c>
      <c r="D15" s="8"/>
      <c r="E15" s="8"/>
      <c r="F15" s="98" t="s">
        <v>48</v>
      </c>
      <c r="G15" s="7"/>
      <c r="H15" s="66" t="s">
        <v>49</v>
      </c>
      <c r="I15" s="103"/>
      <c r="J15" s="8"/>
    </row>
    <row r="16" spans="1:13" ht="16.5" customHeight="1" x14ac:dyDescent="0.3">
      <c r="A16" s="146" t="s">
        <v>9</v>
      </c>
      <c r="B16" s="146"/>
      <c r="C16" s="92">
        <f>IF(C12="","",IF(DATE(YEAR(C15),MONTH(C14),DAY(C14))&lt;=C15,YEAR(C15)-YEAR(C14),(YEAR(C15)-1)-YEAR(C14)))</f>
        <v>5</v>
      </c>
      <c r="D16" s="8"/>
      <c r="E16" s="8"/>
      <c r="F16" s="98" t="s">
        <v>48</v>
      </c>
      <c r="G16" s="7"/>
      <c r="H16" s="66" t="s">
        <v>49</v>
      </c>
      <c r="I16" s="103"/>
      <c r="J16" s="8"/>
    </row>
    <row r="17" spans="1:15" ht="15" customHeight="1" x14ac:dyDescent="0.3">
      <c r="A17" s="159" t="s">
        <v>7</v>
      </c>
      <c r="B17" s="160"/>
      <c r="C17" s="142" t="s">
        <v>8</v>
      </c>
      <c r="D17" s="94"/>
      <c r="E17" s="93"/>
      <c r="F17" s="98" t="s">
        <v>48</v>
      </c>
      <c r="G17" s="7"/>
      <c r="H17" s="66" t="s">
        <v>49</v>
      </c>
      <c r="I17" s="103"/>
      <c r="J17" s="8"/>
    </row>
    <row r="18" spans="1:15" ht="15" customHeight="1" x14ac:dyDescent="0.3">
      <c r="A18" s="151" t="str">
        <f>IF(C17="","",IF(D25&gt;0,IF(C17&lt;&gt;"RETIRED","",(LEFT(C25,LEN(C25)-1)&amp;" used to Purchase Service?")),""))</f>
        <v/>
      </c>
      <c r="B18" s="152"/>
      <c r="C18" s="152"/>
      <c r="D18" s="95" t="s">
        <v>10</v>
      </c>
      <c r="E18" s="8"/>
      <c r="F18" s="98" t="s">
        <v>48</v>
      </c>
      <c r="G18" s="7"/>
      <c r="H18" s="66" t="s">
        <v>49</v>
      </c>
      <c r="I18" s="103"/>
      <c r="J18" s="8"/>
    </row>
    <row r="19" spans="1:15" ht="15.75" customHeight="1" thickBot="1" x14ac:dyDescent="0.35">
      <c r="A19" s="107"/>
      <c r="B19" s="62"/>
      <c r="C19" s="62"/>
      <c r="D19" s="62"/>
      <c r="E19" s="62"/>
      <c r="F19" s="99" t="s">
        <v>48</v>
      </c>
      <c r="G19" s="100"/>
      <c r="H19" s="101" t="s">
        <v>49</v>
      </c>
      <c r="I19" s="104"/>
      <c r="J19" s="8"/>
    </row>
    <row r="20" spans="1:15" ht="15" customHeight="1" thickTop="1" x14ac:dyDescent="0.3">
      <c r="A20" s="159" t="str">
        <f>IF(C17="INVSEP","SEV BENEFIT PD. ENDED?","")</f>
        <v/>
      </c>
      <c r="B20" s="160"/>
      <c r="C20" s="160"/>
      <c r="D20" s="96" t="str">
        <f>IF(AND(C17="INVSEP",(IF(DAY(D4)&gt;=DAY(C15),0,-1)+(YEAR(D4)-YEAR(C15))
*12+MONTH(D4)-MONTH(C15))&lt;12),"N","Y")</f>
        <v>Y</v>
      </c>
      <c r="E20" s="30"/>
    </row>
    <row r="21" spans="1:15" ht="15" customHeight="1" x14ac:dyDescent="0.3">
      <c r="A21" s="151" t="str">
        <f>IF(AND(C17="INVSEP",OR(C10="N",AND(C10="Y",C11="Y"))),"Retain TSL Sick Balance?","")</f>
        <v/>
      </c>
      <c r="B21" s="152"/>
      <c r="C21" s="152"/>
      <c r="D21" s="97" t="s">
        <v>89</v>
      </c>
      <c r="E21" s="30"/>
    </row>
    <row r="22" spans="1:15" ht="8.25" customHeight="1" x14ac:dyDescent="0.3">
      <c r="A22" s="2"/>
      <c r="B22" s="3"/>
      <c r="C22" s="3"/>
      <c r="D22" s="29"/>
      <c r="E22" s="29"/>
    </row>
    <row r="23" spans="1:15" x14ac:dyDescent="0.2">
      <c r="A23" s="161" t="s">
        <v>11</v>
      </c>
      <c r="B23" s="161"/>
      <c r="C23" s="161"/>
      <c r="D23" s="161"/>
      <c r="E23" s="161"/>
      <c r="F23" s="161"/>
      <c r="G23" s="161"/>
      <c r="H23" s="161"/>
      <c r="I23" s="161"/>
      <c r="J23" s="161"/>
    </row>
    <row r="24" spans="1:15" ht="13.5" thickBot="1" x14ac:dyDescent="0.25">
      <c r="A24" s="30"/>
      <c r="B24" s="30"/>
      <c r="C24" s="158" t="str">
        <f>IF(ISERROR(I36),"Cannot Pay This Now","")</f>
        <v/>
      </c>
      <c r="D24" s="158"/>
      <c r="E24" s="157" t="str">
        <f xml:space="preserve"> IF(OR(A42="DUPTYPE",A45="DUPTYPE",A48="DUPTYPE"),"&lt;---------      SELECT DIFFERENT LEAVE TYPES    ----------&gt;","")</f>
        <v/>
      </c>
      <c r="F24" s="157"/>
      <c r="G24" s="157"/>
      <c r="H24" s="157"/>
      <c r="I24" s="157"/>
      <c r="J24" s="30"/>
    </row>
    <row r="25" spans="1:15" ht="18" thickTop="1" thickBot="1" x14ac:dyDescent="0.4">
      <c r="A25" s="19" t="s">
        <v>34</v>
      </c>
      <c r="B25" s="17">
        <v>258</v>
      </c>
      <c r="C25" s="20" t="str">
        <f>IF(AND(C10="y",C11&lt;&gt;"y"),"Dis. Credits: ","TSL Sick: ")</f>
        <v xml:space="preserve">Dis. Credits: </v>
      </c>
      <c r="D25" s="17"/>
      <c r="E25" s="21" t="s">
        <v>35</v>
      </c>
      <c r="F25" s="17">
        <v>34.200000000000003</v>
      </c>
      <c r="G25" s="21" t="s">
        <v>33</v>
      </c>
      <c r="H25" s="18"/>
      <c r="I25" s="21" t="s">
        <v>36</v>
      </c>
      <c r="J25" s="18"/>
    </row>
    <row r="26" spans="1:15" s="8" customFormat="1" ht="6.75" customHeight="1" thickTop="1" x14ac:dyDescent="0.2">
      <c r="A26" s="3"/>
      <c r="B26" s="3"/>
      <c r="C26" s="33"/>
      <c r="D26" s="2"/>
      <c r="E26" s="33"/>
      <c r="F26" s="2"/>
      <c r="G26" s="2"/>
      <c r="H26" s="35"/>
      <c r="I26" s="36"/>
      <c r="J26" s="35"/>
      <c r="K26" s="9"/>
      <c r="L26" s="16"/>
      <c r="N26"/>
      <c r="O26"/>
    </row>
    <row r="27" spans="1:15" s="8" customFormat="1" ht="40.5" customHeight="1" thickTop="1" x14ac:dyDescent="0.2">
      <c r="A27" s="3"/>
      <c r="B27" s="3"/>
      <c r="C27" s="33" t="s">
        <v>12</v>
      </c>
      <c r="D27" s="2"/>
      <c r="E27" s="33" t="s">
        <v>13</v>
      </c>
      <c r="F27" s="2"/>
      <c r="G27" s="2"/>
      <c r="H27" s="37" t="s">
        <v>14</v>
      </c>
      <c r="I27" s="38" t="s">
        <v>15</v>
      </c>
      <c r="J27" s="35"/>
      <c r="K27" s="9"/>
      <c r="L27" s="16"/>
    </row>
    <row r="28" spans="1:15" x14ac:dyDescent="0.2">
      <c r="A28" s="3"/>
      <c r="B28" s="3"/>
      <c r="C28" s="3"/>
      <c r="D28" s="3"/>
      <c r="E28" s="3"/>
      <c r="F28" s="3"/>
      <c r="G28" s="3"/>
      <c r="H28" s="3"/>
      <c r="I28" s="3"/>
      <c r="J28" s="3"/>
      <c r="N28" s="32"/>
      <c r="O28" s="8"/>
    </row>
    <row r="29" spans="1:15" ht="15.75" x14ac:dyDescent="0.25">
      <c r="A29" s="39" t="str">
        <f>A25</f>
        <v xml:space="preserve">Annual: </v>
      </c>
      <c r="B29" s="39"/>
      <c r="C29" s="40">
        <f>IF(C16&lt;5,IF(B25&gt;192,192,B25),IF(C16&lt;10,IF(B25&gt;240,240,B25),IF(C16&lt;20,IF(B25&gt;288,288,B25),IF(C16&gt;19,IF(B25&gt;336,336,B25)))))</f>
        <v>240</v>
      </c>
      <c r="D29" s="25" t="s">
        <v>16</v>
      </c>
      <c r="E29" s="41">
        <f>I11</f>
        <v>24.73</v>
      </c>
      <c r="F29" s="3"/>
      <c r="G29" s="3"/>
      <c r="H29" s="42" t="str">
        <f xml:space="preserve"> IF(OR(C17="INVSEP",C17="ENHCD RET"),"066","009")</f>
        <v>009</v>
      </c>
      <c r="I29" s="43">
        <f>IF($C$17="","ERROR",IF(C17="transfer","TRF",C29*E29))</f>
        <v>5935.2</v>
      </c>
      <c r="J29" s="25"/>
      <c r="O29" s="8"/>
    </row>
    <row r="30" spans="1:15" x14ac:dyDescent="0.2">
      <c r="A30" s="3"/>
      <c r="B30" s="3"/>
      <c r="C30" s="3"/>
      <c r="D30" s="3"/>
      <c r="E30" s="3"/>
      <c r="F30" s="3"/>
      <c r="G30" s="3"/>
      <c r="H30" s="3"/>
      <c r="I30" s="3"/>
      <c r="J30" s="3"/>
    </row>
    <row r="31" spans="1:15" x14ac:dyDescent="0.2">
      <c r="A31" s="3"/>
      <c r="B31" s="44" t="s">
        <v>17</v>
      </c>
      <c r="C31" s="3"/>
      <c r="D31" s="3"/>
      <c r="E31" s="3"/>
      <c r="F31" s="3"/>
      <c r="G31" s="3"/>
      <c r="H31" s="3"/>
      <c r="I31" s="2"/>
      <c r="J31" s="3"/>
    </row>
    <row r="32" spans="1:15" x14ac:dyDescent="0.2">
      <c r="A32" s="3"/>
      <c r="B32" s="167" t="s">
        <v>18</v>
      </c>
      <c r="C32" s="167"/>
      <c r="D32" s="3">
        <v>192</v>
      </c>
      <c r="E32" s="3"/>
      <c r="F32" s="3" t="s">
        <v>19</v>
      </c>
      <c r="G32" s="3">
        <v>288</v>
      </c>
      <c r="H32" s="3"/>
      <c r="I32" s="3"/>
      <c r="J32" s="3"/>
    </row>
    <row r="33" spans="1:15" x14ac:dyDescent="0.2">
      <c r="A33" s="3"/>
      <c r="B33" s="167" t="s">
        <v>20</v>
      </c>
      <c r="C33" s="167"/>
      <c r="D33" s="3">
        <v>240</v>
      </c>
      <c r="E33" s="3"/>
      <c r="F33" s="3" t="s">
        <v>21</v>
      </c>
      <c r="G33" s="3">
        <v>336</v>
      </c>
      <c r="H33" s="3"/>
      <c r="I33" s="3"/>
      <c r="J33" s="3"/>
    </row>
    <row r="34" spans="1:15" x14ac:dyDescent="0.2">
      <c r="A34" s="3"/>
      <c r="B34" s="3"/>
      <c r="C34" s="3"/>
      <c r="D34" s="3"/>
      <c r="E34" s="3"/>
      <c r="F34" s="3"/>
      <c r="G34" s="3"/>
      <c r="H34" s="3"/>
      <c r="I34" s="3"/>
      <c r="J34" s="3"/>
    </row>
    <row r="35" spans="1:15" x14ac:dyDescent="0.2">
      <c r="A35" s="3"/>
      <c r="B35" s="3"/>
      <c r="C35" s="33" t="s">
        <v>12</v>
      </c>
      <c r="D35" s="3"/>
      <c r="E35" s="3"/>
      <c r="F35" s="3"/>
      <c r="G35" s="33" t="s">
        <v>13</v>
      </c>
      <c r="H35" s="3"/>
      <c r="I35" s="3"/>
      <c r="J35" s="3"/>
    </row>
    <row r="36" spans="1:15" ht="15.75" x14ac:dyDescent="0.25">
      <c r="A36" s="45" t="str">
        <f>C25</f>
        <v xml:space="preserve">Dis. Credits: </v>
      </c>
      <c r="B36" s="39"/>
      <c r="C36" s="40">
        <f>IF(AND(C10="Y",C11="N",C17="LTD"),D25-D38,D25)</f>
        <v>0</v>
      </c>
      <c r="D36" s="25" t="s">
        <v>16</v>
      </c>
      <c r="E36" s="25">
        <v>0.25</v>
      </c>
      <c r="F36" s="25" t="s">
        <v>16</v>
      </c>
      <c r="G36" s="46">
        <f>I11</f>
        <v>24.73</v>
      </c>
      <c r="H36" s="47" t="str">
        <f>IF(OR(C17="INVSEP",C17="ENHCD RET"),"067","010")</f>
        <v>010</v>
      </c>
      <c r="I36" s="43">
        <f>IF(D18="Y",0,IF(OR(AND(C10="Y",C11="N",C17="INVSEP",D20="N",D25&gt;0),AND(C10="Y",C11="Y",C17="INVSEP",D20="N",D21="Y",D25&gt;0),AND(C10="N",C11="N",C17="INVSEP",D20="N",D21="Y",D25&gt;0)),"ERROR",IF($C$17="","ERROR",IF(C17="TRANSFER","TRF",IF(C17="LTD",E37*G36,IF(E37*G36&lt;5000,E37*G36,5000))))))</f>
        <v>0</v>
      </c>
      <c r="J36" s="25"/>
    </row>
    <row r="37" spans="1:15" x14ac:dyDescent="0.2">
      <c r="A37" s="3"/>
      <c r="B37" s="3"/>
      <c r="C37" s="3"/>
      <c r="D37" s="3"/>
      <c r="E37" s="10">
        <f>IF(AND(C10="Y",C11="N",C17="LTD"),D39*E36,C36*E36)</f>
        <v>0</v>
      </c>
      <c r="F37" s="2" t="s">
        <v>90</v>
      </c>
      <c r="G37" s="2"/>
      <c r="H37" s="3"/>
      <c r="I37" s="2"/>
      <c r="J37" s="3"/>
    </row>
    <row r="38" spans="1:15" x14ac:dyDescent="0.2">
      <c r="A38" s="3"/>
      <c r="B38" s="2" t="str">
        <f>IF(C17="LTD","LTD BAL TRF TO UNUM:","Non LTD")</f>
        <v>Non LTD</v>
      </c>
      <c r="C38" s="3"/>
      <c r="D38" s="3" t="str">
        <f>IF(AND(C10="Y",C11="N",C17="LTD"),((ROUNDDOWN(D25/8,0)*8)),"")</f>
        <v/>
      </c>
      <c r="E38" s="3"/>
      <c r="F38" s="2" t="str">
        <f>IF(AND(C10="Y",C11="N",C17="InvSep"),"Disability Credits must be held 12 months for Invol. Sep. EES",IF(OR(AND(C10="Y",C11="Y",C17="INVSEP",D20="N",D21="Y"),AND(C10="N",C11="N",C17="INVSEP",D20="N",D21="Y")),"TSL Sick Balance must be held 12 months for Invol. Sep. EEs","Leave may be paid"))</f>
        <v>Leave may be paid</v>
      </c>
      <c r="G38" s="3"/>
      <c r="H38" s="3"/>
      <c r="I38" s="3"/>
      <c r="J38" s="3"/>
      <c r="O38" s="15"/>
    </row>
    <row r="39" spans="1:15" x14ac:dyDescent="0.2">
      <c r="A39" s="3"/>
      <c r="B39" s="2" t="str">
        <f>IF(C17="LTD","Remaining DC Bal:","")</f>
        <v/>
      </c>
      <c r="C39" s="3"/>
      <c r="D39" s="48" t="str">
        <f>IF(AND(C10="Y",C11="N",C17="LTD"),D25-D38,"")</f>
        <v/>
      </c>
      <c r="E39" s="3"/>
      <c r="F39" s="3"/>
      <c r="G39" s="3"/>
      <c r="H39" s="3"/>
      <c r="I39" s="3"/>
      <c r="J39" s="3"/>
      <c r="O39" s="15"/>
    </row>
    <row r="40" spans="1:15" x14ac:dyDescent="0.2">
      <c r="A40" s="3"/>
      <c r="B40" s="3"/>
      <c r="C40" s="3"/>
      <c r="D40" s="3"/>
      <c r="E40" s="3"/>
      <c r="F40" s="3"/>
      <c r="G40" s="2"/>
      <c r="H40" s="3"/>
      <c r="I40" s="3"/>
      <c r="J40" s="3"/>
      <c r="N40" s="13"/>
      <c r="O40" s="15"/>
    </row>
    <row r="41" spans="1:15" x14ac:dyDescent="0.2">
      <c r="A41" s="3"/>
      <c r="B41" s="3"/>
      <c r="C41" s="33" t="s">
        <v>12</v>
      </c>
      <c r="D41" s="3"/>
      <c r="E41" s="33" t="s">
        <v>13</v>
      </c>
      <c r="F41" s="3"/>
      <c r="G41" s="3"/>
      <c r="H41" s="3"/>
      <c r="I41" s="3"/>
      <c r="J41" s="3"/>
      <c r="O41" s="15"/>
    </row>
    <row r="42" spans="1:15" ht="15.75" x14ac:dyDescent="0.25">
      <c r="A42" s="39" t="str">
        <f>IF(OR(E25=G25,E25=I25),"DUPLICATE LV TYPE",E25)</f>
        <v xml:space="preserve">Comp: </v>
      </c>
      <c r="B42" s="39"/>
      <c r="C42" s="40">
        <f>F25</f>
        <v>34.200000000000003</v>
      </c>
      <c r="D42" s="25" t="s">
        <v>16</v>
      </c>
      <c r="E42" s="46">
        <f>E29</f>
        <v>24.73</v>
      </c>
      <c r="F42" s="3"/>
      <c r="G42" s="23"/>
      <c r="H42" s="47">
        <f>VLOOKUP(A42,spcpay,IF(OR($C$17="INVSEP",$C$17="ENHCD RET"),3,2),FALSE)</f>
        <v>11</v>
      </c>
      <c r="I42" s="49">
        <f>IFERROR(IF(OR($C$17="",$H$42=""),"ERROR",C42*E42),"ERROR")</f>
        <v>845.76600000000008</v>
      </c>
      <c r="J42" s="25"/>
      <c r="O42" s="15"/>
    </row>
    <row r="43" spans="1:15" x14ac:dyDescent="0.2">
      <c r="A43" s="50"/>
      <c r="B43" s="50"/>
      <c r="C43" s="40"/>
      <c r="D43" s="25"/>
      <c r="E43" s="53" t="str">
        <f>IF(AND($A$42='Lookups and Calculations'!$A$10,E42&lt;&gt;0),"The larger of the last hourly pay rate, or average hourly pay rate over past 3 years","")</f>
        <v/>
      </c>
      <c r="F43" s="3"/>
      <c r="G43" s="23"/>
      <c r="H43" s="23"/>
      <c r="I43" s="2"/>
      <c r="J43" s="3"/>
      <c r="O43" s="15"/>
    </row>
    <row r="44" spans="1:15" x14ac:dyDescent="0.2">
      <c r="A44" s="50"/>
      <c r="B44" s="50"/>
      <c r="C44" s="40"/>
      <c r="D44" s="25"/>
      <c r="E44" s="46"/>
      <c r="F44" s="3"/>
      <c r="G44" s="23"/>
      <c r="H44" s="23"/>
      <c r="I44" s="2"/>
      <c r="J44" s="3"/>
      <c r="N44" s="14"/>
    </row>
    <row r="45" spans="1:15" ht="15.75" x14ac:dyDescent="0.25">
      <c r="A45" s="39" t="str">
        <f>IF(OR(G25=E25,G25=I25),"DUPLICATE LV TYPE",G25)</f>
        <v xml:space="preserve">Recog: </v>
      </c>
      <c r="B45" s="39"/>
      <c r="C45" s="40">
        <f>H25</f>
        <v>0</v>
      </c>
      <c r="D45" s="25" t="s">
        <v>16</v>
      </c>
      <c r="E45" s="46">
        <f>E29</f>
        <v>24.73</v>
      </c>
      <c r="F45" s="3"/>
      <c r="G45" s="23"/>
      <c r="H45" s="47">
        <f>VLOOKUP(A45,spcpay,IF(OR($C$17="INVSEP",$C$17="ENHCD RET"),3,2),FALSE)</f>
        <v>11</v>
      </c>
      <c r="I45" s="49">
        <f>IFERROR(IF(OR($C$17="",$H$45=""),"ERROR",C45*E45),"ERROR")</f>
        <v>0</v>
      </c>
      <c r="J45" s="25"/>
    </row>
    <row r="46" spans="1:15" x14ac:dyDescent="0.2">
      <c r="A46" s="50"/>
      <c r="B46" s="50"/>
      <c r="C46" s="51"/>
      <c r="D46" s="52"/>
      <c r="E46" s="53" t="str">
        <f>IF(AND($A$45='Lookups and Calculations'!$A$10,E45&lt;&gt;0),"The larger of the last hourly pay rate, or average hourly pay rate over past 3 years","")</f>
        <v/>
      </c>
      <c r="F46" s="22"/>
      <c r="G46" s="54"/>
      <c r="H46" s="54"/>
      <c r="I46" s="2"/>
      <c r="J46" s="3"/>
    </row>
    <row r="47" spans="1:15" x14ac:dyDescent="0.2">
      <c r="A47" s="50"/>
      <c r="B47" s="50"/>
      <c r="C47" s="51"/>
      <c r="D47" s="52"/>
      <c r="E47" s="53"/>
      <c r="F47" s="22"/>
      <c r="G47" s="54"/>
      <c r="H47" s="54"/>
      <c r="I47" s="2"/>
      <c r="J47" s="3"/>
    </row>
    <row r="48" spans="1:15" ht="15.75" x14ac:dyDescent="0.25">
      <c r="A48" s="39" t="str">
        <f>IF(OR(I25=E25,I25=G25),"DUPLICATE LV TYPE",I25)</f>
        <v xml:space="preserve">Overtime: </v>
      </c>
      <c r="B48" s="39"/>
      <c r="C48" s="40">
        <f>IF(J25&gt;240,240,J25)</f>
        <v>0</v>
      </c>
      <c r="D48" s="25" t="s">
        <v>16</v>
      </c>
      <c r="E48" s="46">
        <f>IF(AND($A$48='Lookups and Calculations'!$A$10,OTLvAvgHrlyRate&gt;$I$11),OTLvAvgHrlyRate,'Leave Payout'!$I$11)</f>
        <v>24.73</v>
      </c>
      <c r="F48" s="3"/>
      <c r="G48" s="23"/>
      <c r="H48" s="47">
        <f>VLOOKUP(A48,spcpay,IF(OR($C$17="INVSEP",$C$17="ENHCD RET"),3,2),FALSE)</f>
        <v>27</v>
      </c>
      <c r="I48" s="49">
        <f>IFERROR(IF(OR($C$17="",$H$48=""),"ERROR",C48*E48),"ERROR")</f>
        <v>0</v>
      </c>
      <c r="J48" s="25"/>
    </row>
    <row r="49" spans="1:10" ht="15.75" x14ac:dyDescent="0.25">
      <c r="A49" s="39" t="s">
        <v>94</v>
      </c>
      <c r="B49" s="39"/>
      <c r="C49" s="51" t="str">
        <f>IF(J25&gt;240,J25-240,"")</f>
        <v/>
      </c>
      <c r="D49" s="143" t="s">
        <v>16</v>
      </c>
      <c r="E49" s="46">
        <f>IF(C50="Y",IF(AND($A$48='Lookups and Calculations'!$A$10,OTLvAvgHrlyRate&gt;$I$11),OTLvAvgHrlyRate,'Leave Payout'!$I$11),0)</f>
        <v>0</v>
      </c>
      <c r="F49" s="22"/>
      <c r="G49" s="54"/>
      <c r="H49" s="47">
        <f>VLOOKUP(A48,spcpay,IF(OR($C$17="INVSEP",$C$17="ENHCD RET"),3,2),FALSE)</f>
        <v>27</v>
      </c>
      <c r="I49" s="49">
        <f>IF(C49="",0,C49)*E49</f>
        <v>0</v>
      </c>
      <c r="J49" s="3"/>
    </row>
    <row r="50" spans="1:10" ht="16.5" x14ac:dyDescent="0.35">
      <c r="A50" s="177" t="s">
        <v>95</v>
      </c>
      <c r="B50" s="178"/>
      <c r="C50" s="109" t="s">
        <v>10</v>
      </c>
      <c r="D50" s="52"/>
      <c r="E50" s="53"/>
      <c r="F50" s="22"/>
      <c r="G50" s="54"/>
      <c r="H50" s="54"/>
      <c r="I50" s="2"/>
      <c r="J50" s="3"/>
    </row>
    <row r="51" spans="1:10" ht="15.75" x14ac:dyDescent="0.25">
      <c r="A51" s="162" t="str">
        <f>IF(AND(C49&lt;&gt;"",C50="N"),"OVERTIME LEAVE OVER 240 FOR NON PUBLIC SAFETY EMPLOYEE MUST BE PROCESSED AS OVERTIME PAY","")</f>
        <v/>
      </c>
      <c r="B51" s="162"/>
      <c r="C51" s="162"/>
      <c r="D51" s="162"/>
      <c r="E51" s="162"/>
      <c r="F51" s="162"/>
      <c r="G51" s="162"/>
      <c r="H51" s="162"/>
      <c r="I51" s="162"/>
      <c r="J51" s="162"/>
    </row>
    <row r="52" spans="1:10" ht="15.75" x14ac:dyDescent="0.25">
      <c r="A52" s="50"/>
      <c r="B52" s="50"/>
      <c r="C52" s="51"/>
      <c r="D52" s="176" t="s">
        <v>22</v>
      </c>
      <c r="E52" s="176"/>
      <c r="F52" s="176"/>
      <c r="G52" s="176"/>
      <c r="H52" s="176"/>
      <c r="I52" s="108">
        <f>SUM(IF(I29="trf",0,I29)+IF(I36="trf",0,I36)+I42+I45+I48+I49)</f>
        <v>6780.9660000000003</v>
      </c>
      <c r="J52" s="3"/>
    </row>
    <row r="53" spans="1:10" ht="15" x14ac:dyDescent="0.25">
      <c r="A53" s="3"/>
      <c r="B53" s="3"/>
      <c r="C53" s="3"/>
      <c r="D53" s="3"/>
      <c r="E53" s="3"/>
      <c r="F53" s="3"/>
      <c r="G53" s="3"/>
      <c r="H53" s="3"/>
      <c r="I53" s="55"/>
      <c r="J53" s="22"/>
    </row>
    <row r="54" spans="1:10" ht="38.25" customHeight="1" x14ac:dyDescent="0.2">
      <c r="A54" s="172" t="s">
        <v>38</v>
      </c>
      <c r="B54" s="173"/>
      <c r="C54" s="173"/>
      <c r="D54" s="173"/>
      <c r="E54" s="173"/>
      <c r="F54" s="173"/>
      <c r="G54" s="173"/>
      <c r="H54" s="173"/>
      <c r="I54" s="173"/>
      <c r="J54" s="173"/>
    </row>
    <row r="55" spans="1:10" x14ac:dyDescent="0.2">
      <c r="A55" s="3"/>
      <c r="B55" s="2"/>
      <c r="C55" s="56"/>
      <c r="D55" s="3"/>
      <c r="E55" s="3"/>
      <c r="F55" s="3"/>
      <c r="G55" s="57"/>
      <c r="H55" s="58"/>
      <c r="I55" s="58"/>
      <c r="J55" s="58"/>
    </row>
    <row r="56" spans="1:10" x14ac:dyDescent="0.2">
      <c r="A56" s="3"/>
      <c r="B56" s="3"/>
      <c r="C56" s="3"/>
      <c r="D56" s="3"/>
      <c r="E56" s="3"/>
      <c r="F56" s="3"/>
      <c r="G56" s="3"/>
      <c r="H56" s="3"/>
      <c r="I56" s="3"/>
      <c r="J56" s="3"/>
    </row>
    <row r="57" spans="1:10" ht="13.5" thickBot="1" x14ac:dyDescent="0.25">
      <c r="A57" s="163" t="s">
        <v>23</v>
      </c>
      <c r="B57" s="164"/>
      <c r="C57" s="59"/>
      <c r="D57" s="59"/>
      <c r="E57" s="59"/>
      <c r="F57" s="60"/>
      <c r="G57" s="60"/>
      <c r="H57" s="30"/>
      <c r="I57" s="61" t="s">
        <v>24</v>
      </c>
      <c r="J57" s="12">
        <f ca="1">NOW()</f>
        <v>42668.685514930556</v>
      </c>
    </row>
    <row r="58" spans="1:10" ht="13.5" thickTop="1" x14ac:dyDescent="0.2"/>
    <row r="59" spans="1:10" x14ac:dyDescent="0.2">
      <c r="A59" s="124"/>
      <c r="B59" s="124"/>
      <c r="C59" s="124"/>
      <c r="D59" s="124"/>
      <c r="E59" s="124"/>
      <c r="F59" s="124"/>
      <c r="G59" s="124"/>
      <c r="H59" s="124"/>
      <c r="I59" s="124"/>
      <c r="J59" s="124"/>
    </row>
    <row r="60" spans="1:10" x14ac:dyDescent="0.2">
      <c r="A60" s="124"/>
      <c r="B60" s="124"/>
      <c r="C60" s="124"/>
      <c r="D60" s="124"/>
      <c r="E60" s="124"/>
      <c r="F60" s="124"/>
      <c r="G60" s="124"/>
      <c r="H60" s="124"/>
      <c r="I60" s="124"/>
      <c r="J60" s="124"/>
    </row>
    <row r="61" spans="1:10" x14ac:dyDescent="0.2">
      <c r="A61" s="124"/>
      <c r="B61" s="124"/>
      <c r="C61" s="124"/>
      <c r="D61" s="124"/>
      <c r="E61" s="124"/>
      <c r="F61" s="124"/>
      <c r="G61" s="124"/>
      <c r="H61" s="124"/>
      <c r="I61" s="124"/>
      <c r="J61" s="124"/>
    </row>
    <row r="263" spans="1:56" x14ac:dyDescent="0.2">
      <c r="A263" s="31"/>
    </row>
    <row r="264" spans="1:56" x14ac:dyDescent="0.2">
      <c r="A264" s="31"/>
    </row>
    <row r="265" spans="1:56" x14ac:dyDescent="0.2">
      <c r="AX265" s="13"/>
      <c r="AY265" s="11"/>
    </row>
    <row r="266" spans="1:56" x14ac:dyDescent="0.2">
      <c r="AX266" s="13"/>
      <c r="BC266" s="13"/>
      <c r="BD266" s="13"/>
    </row>
    <row r="267" spans="1:56" x14ac:dyDescent="0.2">
      <c r="AX267" s="13"/>
      <c r="BC267" s="13"/>
      <c r="BD267" s="13"/>
    </row>
    <row r="268" spans="1:56" x14ac:dyDescent="0.2">
      <c r="AX268" s="13"/>
    </row>
    <row r="269" spans="1:56" x14ac:dyDescent="0.2">
      <c r="AX269" s="13"/>
    </row>
    <row r="270" spans="1:56" x14ac:dyDescent="0.2">
      <c r="AX270" s="13"/>
    </row>
    <row r="271" spans="1:56" x14ac:dyDescent="0.2">
      <c r="AX271" s="13"/>
    </row>
  </sheetData>
  <sheetProtection password="CC16" sheet="1" objects="1" scenarios="1" selectLockedCells="1"/>
  <mergeCells count="37">
    <mergeCell ref="A51:J51"/>
    <mergeCell ref="A57:B57"/>
    <mergeCell ref="A1:J1"/>
    <mergeCell ref="F8:H8"/>
    <mergeCell ref="F10:H10"/>
    <mergeCell ref="F11:H11"/>
    <mergeCell ref="I3:J3"/>
    <mergeCell ref="A54:J54"/>
    <mergeCell ref="B33:C33"/>
    <mergeCell ref="B32:C32"/>
    <mergeCell ref="D4:E4"/>
    <mergeCell ref="C8:E8"/>
    <mergeCell ref="D52:H52"/>
    <mergeCell ref="A8:B8"/>
    <mergeCell ref="A50:B50"/>
    <mergeCell ref="A5:J5"/>
    <mergeCell ref="E24:I24"/>
    <mergeCell ref="A16:B16"/>
    <mergeCell ref="C24:D24"/>
    <mergeCell ref="A17:B17"/>
    <mergeCell ref="A21:C21"/>
    <mergeCell ref="A20:C20"/>
    <mergeCell ref="A23:J23"/>
    <mergeCell ref="A15:B15"/>
    <mergeCell ref="A18:C18"/>
    <mergeCell ref="F13:I13"/>
    <mergeCell ref="A14:B14"/>
    <mergeCell ref="D10:E11"/>
    <mergeCell ref="A13:B13"/>
    <mergeCell ref="A12:B12"/>
    <mergeCell ref="A7:J7"/>
    <mergeCell ref="A9:B9"/>
    <mergeCell ref="A6:J6"/>
    <mergeCell ref="F12:H12"/>
    <mergeCell ref="A10:B10"/>
    <mergeCell ref="A11:B11"/>
    <mergeCell ref="F9:I9"/>
  </mergeCells>
  <phoneticPr fontId="0" type="noConversion"/>
  <conditionalFormatting sqref="D18">
    <cfRule type="expression" dxfId="8" priority="8" stopIfTrue="1">
      <formula>$A$18=""</formula>
    </cfRule>
  </conditionalFormatting>
  <conditionalFormatting sqref="D21">
    <cfRule type="expression" dxfId="7" priority="9" stopIfTrue="1">
      <formula>$A$21=""</formula>
    </cfRule>
  </conditionalFormatting>
  <conditionalFormatting sqref="A5:J5">
    <cfRule type="expression" dxfId="6" priority="7" stopIfTrue="1">
      <formula>$A$5&lt;&gt;""</formula>
    </cfRule>
  </conditionalFormatting>
  <conditionalFormatting sqref="D10">
    <cfRule type="expression" dxfId="5" priority="6" stopIfTrue="1">
      <formula>$D$10&lt;&gt;""</formula>
    </cfRule>
  </conditionalFormatting>
  <conditionalFormatting sqref="D20">
    <cfRule type="expression" dxfId="4" priority="5" stopIfTrue="1">
      <formula>$A$20=""</formula>
    </cfRule>
  </conditionalFormatting>
  <conditionalFormatting sqref="E24:I24">
    <cfRule type="expression" dxfId="3" priority="4" stopIfTrue="1">
      <formula>$E$24&lt;&gt;""</formula>
    </cfRule>
  </conditionalFormatting>
  <conditionalFormatting sqref="C24:D24">
    <cfRule type="expression" dxfId="2" priority="3" stopIfTrue="1">
      <formula>$C$24&lt;&gt;""</formula>
    </cfRule>
  </conditionalFormatting>
  <conditionalFormatting sqref="F9">
    <cfRule type="expression" dxfId="1" priority="2" stopIfTrue="1">
      <formula>$F$9&lt;&gt;""</formula>
    </cfRule>
  </conditionalFormatting>
  <conditionalFormatting sqref="A51:J51">
    <cfRule type="expression" dxfId="0" priority="1" stopIfTrue="1">
      <formula>$A$5&lt;&gt;""</formula>
    </cfRule>
  </conditionalFormatting>
  <dataValidations xWindow="255" yWindow="381" count="39">
    <dataValidation type="list" allowBlank="1" showErrorMessage="1" promptTitle="Purchase Svc Credit w/Sick Leave" prompt="Retiring Employees Only:_x000a_select &quot;Y&quot; or &quot;N&quot; as answered in question #13 on the Application for Service Retirement (VRS-5) or on the Application for Disability Retirement (VRS-6)._x000a_" sqref="D18">
      <formula1>YesNo</formula1>
    </dataValidation>
    <dataValidation allowBlank="1" showErrorMessage="1" promptTitle="Separation Date:" prompt="Enter the Separation Date of the employee as shown on PMIS screen PSE305." sqref="C15"/>
    <dataValidation allowBlank="1" showErrorMessage="1" promptTitle="Adjusted Employment Date" prompt="This will be calculted from the PMIS information entered above.  See Adjusted Employment Calculator tab for more information._x000a_" sqref="C14"/>
    <dataValidation type="list" allowBlank="1" showErrorMessage="1" promptTitle="VSDP Employee" prompt="Indicate whether employee is a participant in VSDP Plan." sqref="C10">
      <formula1>YesNo</formula1>
    </dataValidation>
    <dataValidation type="list" allowBlank="1" showErrorMessage="1" promptTitle="TSL Bank Employee" prompt="Is this employee a Plan 1 employee who opted-in the new VRS Hybrid Retirment Plan eff. 7-1-2014 AND did the employee bank traditional sick leave balances?  Verify with VRS._x000a__x000a_ Indicate 'Y' or 'N'" sqref="C11">
      <formula1>YesNo</formula1>
    </dataValidation>
    <dataValidation allowBlank="1" showErrorMessage="1" promptTitle="PMIS Last Anniversary Number" prompt="Enter the highest service award the employee has achieved." sqref="C13"/>
    <dataValidation allowBlank="1" showErrorMessage="1" promptTitle="Prior Annual Salary within 3 yrs" prompt="enter a prior annual salary if within 3 years of separation date." sqref="I19"/>
    <dataValidation type="list" allowBlank="1" showErrorMessage="1" promptTitle="Retain TSL Sick Balance?" prompt="If INVSEP, indicate whether TSL Sick hours are to be held until the end of the Severance Period. If employee chose to retain those hours, they must be held 12 months before being paid." sqref="D21">
      <formula1>YesNo</formula1>
    </dataValidation>
    <dataValidation type="list" allowBlank="1" showErrorMessage="1" errorTitle="Keying Error" error="You must select an item from the list." promptTitle="Separation Status" prompt="Enter the separation status as found on PMIS screen PSE305" sqref="C17">
      <formula1>SepStatus</formula1>
    </dataValidation>
    <dataValidation type="list" allowBlank="1" showErrorMessage="1" sqref="E26">
      <formula1>$AX$266:$AX$270</formula1>
    </dataValidation>
    <dataValidation allowBlank="1" showErrorMessage="1" promptTitle="Employee's Name" prompt="enter the employee's name" sqref="C8"/>
    <dataValidation allowBlank="1" showErrorMessage="1" promptTitle="Emp ID #" prompt="enter the employee's identification number" sqref="I8"/>
    <dataValidation allowBlank="1" showErrorMessage="1" promptTitle="Annual" prompt="enter annual leave balance" sqref="B25"/>
    <dataValidation allowBlank="1" showErrorMessage="1" promptTitle="Disability Credits/TSL Sick" prompt="If applicable, enter the balance for Disability Credits or TSL Sick as identified in cell D18 " sqref="D25"/>
    <dataValidation allowBlank="1" showErrorMessage="1" promptTitle="Compensatory Leave" prompt="If applicable, enter the comp leave balance in cell  F18." sqref="F25"/>
    <dataValidation allowBlank="1" showErrorMessage="1" promptTitle="Recognition Leave" prompt="If applicable, enter the recognition leave balance in cell  H18." sqref="H25"/>
    <dataValidation allowBlank="1" showErrorMessage="1" promptTitle="Overtime Leave" prompt="If applicable, enter the overtime leave balance in cell J18" sqref="J25"/>
    <dataValidation type="list" allowBlank="1" showErrorMessage="1" promptTitle="Leave Type 3" prompt="If applicable, select the third leave type to be paid. Enter the balance in cell F18" sqref="E25">
      <formula1>lvtypes</formula1>
    </dataValidation>
    <dataValidation type="list" allowBlank="1" showErrorMessage="1" promptTitle="Leave Type 4" prompt="If applicable, select the fourth leave type to be paid. Enter the balance in cell H18" sqref="G25">
      <formula1>lvtypes</formula1>
    </dataValidation>
    <dataValidation type="list" allowBlank="1" showErrorMessage="1" promptTitle="Leave Type 5" prompt="If applicable, select the fifth leave type to be paid. Enter the balance in cell J18" sqref="I25">
      <formula1>lvtypes</formula1>
    </dataValidation>
    <dataValidation allowBlank="1" showErrorMessage="1" promptTitle="Dis Credits/TSL Sick" prompt="Leave type determined by VSDP Employee and TSL Bank Employee fields in cells C9 &amp; C10, respectively" sqref="C25"/>
    <dataValidation allowBlank="1" showErrorMessage="1" promptTitle="Check Date to be Paid" prompt="enter the check date when leave is to be paid" sqref="D4"/>
    <dataValidation allowBlank="1" showErrorMessage="1" promptTitle="Agency Number" prompt="enter the agency number" sqref="C3"/>
    <dataValidation allowBlank="1" showInputMessage="1" showErrorMessage="1" promptTitle="Severance Benefit Period Ended?" prompt="If employee is in INVSEP status, this field appears. It calculates the whole months between check date and separation date to determine if the 12 month benefit period has ended. Disability credits are not to be paid until the benefit period is completed." sqref="D20"/>
    <dataValidation allowBlank="1" showErrorMessage="1" promptTitle="Annual Salary" prompt="enter the annual salary" sqref="I10"/>
    <dataValidation allowBlank="1" showErrorMessage="1" promptTitle="Prior Salary Effective Date" prompt="enter the effective date of the prior annual salary entered in Column I. Only enter prior salaries within 3 years of Separation Date." sqref="G19"/>
    <dataValidation allowBlank="1" showErrorMessage="1" promptTitle="Contract Length" prompt="Enter the employment months (Months) as found on PMIS screen PSE305_x000a_" sqref="C9"/>
    <dataValidation allowBlank="1" showErrorMessage="1" promptTitle="PMIS Next Anniversary Date" prompt="From the PSE305.  If this is not a PMIS agency enter the projected date the employee would achieve a new service award." sqref="C12"/>
    <dataValidation allowBlank="1" showErrorMessage="1" promptTitle="FTE Equivalent" prompt="Enter the FTE (Full Time Equivalent) percentage here.  This is found on the PSE305 screen." sqref="I12"/>
    <dataValidation allowBlank="1" showErrorMessage="1" promptTitle="Prior Annual Salary within 3 yrs" prompt="enter a prior annual salary if within 3 years of separation date." sqref="I18"/>
    <dataValidation type="list" allowBlank="1" showErrorMessage="1" sqref="G26">
      <formula1>$AX$266:$AX$270</formula1>
    </dataValidation>
    <dataValidation allowBlank="1" showErrorMessage="1" promptTitle="Prior Salary Effective Date" prompt="enter the effective date of the prior annual salary entered in Column I. Only enter prior salaries within 3 years of Separation Date." sqref="G18"/>
    <dataValidation allowBlank="1" showErrorMessage="1" promptTitle="Prior Annual Salary within 3 yrs" prompt="enter a prior annual salary if within 3 years of separation date." sqref="I17"/>
    <dataValidation allowBlank="1" showErrorMessage="1" promptTitle="Prior Salary Effective Date" prompt="enter the effective date of the prior annual salary entered in Column I. Only enter prior salaries within 3 years of Separation Date." sqref="G17"/>
    <dataValidation type="list" showErrorMessage="1" promptTitle="Pay Excess Overtime Leave?" prompt="FLSA and DHRM Policy 3.15 requires overtime leave limit of 240 hours unless they are a &quot;public safety&quot; employee.  Otherwise, excess overtime leave hours should be paid as overtime pay instead of overtime leave." sqref="C50">
      <formula1>YesNo</formula1>
    </dataValidation>
    <dataValidation allowBlank="1" showErrorMessage="1" promptTitle="Public Safety Employee?" prompt="See DHRM Policy 3.15 for definition of public safety employee" sqref="A50"/>
    <dataValidation type="list" allowBlank="1" showErrorMessage="1" sqref="I26">
      <formula1>$AX$266:$AX$270</formula1>
    </dataValidation>
    <dataValidation allowBlank="1" showErrorMessage="1" promptTitle="Prior Annual Salary within 3 yrs" prompt="enter a prior annual salary if within 3 years of separation date." sqref="I14 I15 I16"/>
    <dataValidation allowBlank="1" showErrorMessage="1" promptTitle="Prior Salary Effective Date" prompt="enter the effective date of the prior annual salary entered in Column I. Only enter prior salaries within 3 years of Separation Date." sqref="G14 G15 G16"/>
  </dataValidations>
  <pageMargins left="0.49" right="0.4" top="0.45" bottom="0.36" header="0.36" footer="0.25"/>
  <pageSetup scale="80" orientation="portrait" horizontalDpi="300" verticalDpi="300" r:id="rId1"/>
  <headerFooter alignWithMargins="0"/>
  <drawing r:id="rId2"/>
  <legacyDrawing r:id="rId3"/>
  <controls>
    <mc:AlternateContent xmlns:mc="http://schemas.openxmlformats.org/markup-compatibility/2006">
      <mc:Choice Requires="x14">
        <control shapeId="1085" r:id="rId4" name="CheckBox1">
          <controlPr defaultSize="0" autoLine="0" r:id="rId5">
            <anchor moveWithCells="1">
              <from>
                <xdr:col>5</xdr:col>
                <xdr:colOff>190500</xdr:colOff>
                <xdr:row>19</xdr:row>
                <xdr:rowOff>85725</xdr:rowOff>
              </from>
              <to>
                <xdr:col>9</xdr:col>
                <xdr:colOff>333375</xdr:colOff>
                <xdr:row>21</xdr:row>
                <xdr:rowOff>38100</xdr:rowOff>
              </to>
            </anchor>
          </controlPr>
        </control>
      </mc:Choice>
      <mc:Fallback>
        <control shapeId="1085" r:id="rId4" name="CheckBox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O47"/>
  <sheetViews>
    <sheetView workbookViewId="0">
      <selection activeCell="A7" sqref="A7:XFD17"/>
    </sheetView>
  </sheetViews>
  <sheetFormatPr defaultRowHeight="12.75" x14ac:dyDescent="0.2"/>
  <cols>
    <col min="1" max="1" width="11.28515625" style="3" bestFit="1" customWidth="1"/>
    <col min="2" max="2" width="9.5703125" style="3" bestFit="1" customWidth="1"/>
    <col min="3" max="3" width="11" style="3" bestFit="1" customWidth="1"/>
    <col min="4" max="4" width="16" style="3" bestFit="1" customWidth="1"/>
    <col min="5" max="5" width="9.140625" style="3"/>
    <col min="6" max="6" width="10.7109375" style="3" bestFit="1" customWidth="1"/>
    <col min="7" max="16384" width="9.140625" style="3"/>
  </cols>
  <sheetData>
    <row r="2" spans="1:10" x14ac:dyDescent="0.2">
      <c r="A2" s="57" t="s">
        <v>60</v>
      </c>
      <c r="B2" s="57"/>
      <c r="C2" s="57"/>
      <c r="D2" s="110">
        <f>'Leave Payout'!$C$9</f>
        <v>12</v>
      </c>
    </row>
    <row r="3" spans="1:10" x14ac:dyDescent="0.2">
      <c r="A3" s="57" t="s">
        <v>92</v>
      </c>
      <c r="B3" s="57"/>
      <c r="C3" s="57"/>
      <c r="D3" s="144">
        <f>'Leave Payout'!I12</f>
        <v>1</v>
      </c>
    </row>
    <row r="4" spans="1:10" ht="38.25" customHeight="1" x14ac:dyDescent="0.2">
      <c r="A4" s="179" t="s">
        <v>91</v>
      </c>
      <c r="B4" s="179"/>
      <c r="C4" s="179"/>
      <c r="D4" s="111">
        <f>(((2080/12)*$D$2)*'Leave Payout'!I12)</f>
        <v>2080</v>
      </c>
    </row>
    <row r="6" spans="1:10" x14ac:dyDescent="0.2">
      <c r="A6" s="117"/>
      <c r="B6" s="117"/>
      <c r="C6" s="117"/>
      <c r="D6" s="117"/>
      <c r="E6" s="117"/>
      <c r="F6" s="117"/>
      <c r="G6" s="117"/>
      <c r="H6" s="117"/>
      <c r="I6" s="117"/>
      <c r="J6" s="117"/>
    </row>
    <row r="7" spans="1:10" hidden="1" x14ac:dyDescent="0.2">
      <c r="A7" s="68" t="s">
        <v>39</v>
      </c>
      <c r="B7" s="68" t="s">
        <v>40</v>
      </c>
      <c r="C7" s="68" t="s">
        <v>41</v>
      </c>
      <c r="D7" s="68" t="s">
        <v>42</v>
      </c>
      <c r="F7" s="3" t="s">
        <v>45</v>
      </c>
    </row>
    <row r="8" spans="1:10" hidden="1" x14ac:dyDescent="0.2">
      <c r="A8" s="69" t="s">
        <v>34</v>
      </c>
      <c r="B8" s="70" t="s">
        <v>25</v>
      </c>
      <c r="C8" s="3">
        <v>66</v>
      </c>
      <c r="D8" s="3" t="s">
        <v>88</v>
      </c>
      <c r="F8" s="3" t="str">
        <f>IF(OR($C$25="TRANSFER",$C$25="LTD"),"","")</f>
        <v/>
      </c>
    </row>
    <row r="9" spans="1:10" hidden="1" x14ac:dyDescent="0.2">
      <c r="A9" s="69" t="s">
        <v>35</v>
      </c>
      <c r="B9" s="3">
        <v>11</v>
      </c>
      <c r="C9" s="3">
        <v>68</v>
      </c>
      <c r="D9" s="3" t="s">
        <v>8</v>
      </c>
      <c r="F9" s="69" t="s">
        <v>29</v>
      </c>
    </row>
    <row r="10" spans="1:10" hidden="1" x14ac:dyDescent="0.2">
      <c r="A10" s="69" t="s">
        <v>36</v>
      </c>
      <c r="B10" s="3">
        <v>27</v>
      </c>
      <c r="C10" s="3">
        <v>68</v>
      </c>
      <c r="D10" s="3" t="s">
        <v>26</v>
      </c>
      <c r="F10" s="69" t="s">
        <v>10</v>
      </c>
    </row>
    <row r="11" spans="1:10" hidden="1" x14ac:dyDescent="0.2">
      <c r="A11" s="69" t="s">
        <v>33</v>
      </c>
      <c r="B11" s="3">
        <v>11</v>
      </c>
      <c r="C11" s="3">
        <v>68</v>
      </c>
      <c r="D11" s="3" t="s">
        <v>27</v>
      </c>
    </row>
    <row r="12" spans="1:10" hidden="1" x14ac:dyDescent="0.2">
      <c r="A12" s="68" t="s">
        <v>58</v>
      </c>
      <c r="B12" s="3">
        <v>28</v>
      </c>
      <c r="C12" s="3">
        <v>68</v>
      </c>
      <c r="D12" s="3" t="s">
        <v>28</v>
      </c>
    </row>
    <row r="13" spans="1:10" hidden="1" x14ac:dyDescent="0.2">
      <c r="A13" s="69" t="str">
        <f>IF($D$16="Y","Bonus: ","")</f>
        <v xml:space="preserve">Bonus: </v>
      </c>
      <c r="B13" s="3">
        <f>IF($D$16="Y",25,"")</f>
        <v>25</v>
      </c>
      <c r="C13" s="3">
        <f>IF($D$16="Y",68,"")</f>
        <v>68</v>
      </c>
    </row>
    <row r="14" spans="1:10" hidden="1" x14ac:dyDescent="0.2">
      <c r="A14" s="69" t="s">
        <v>37</v>
      </c>
      <c r="B14" s="3">
        <v>10</v>
      </c>
      <c r="C14" s="3">
        <v>67</v>
      </c>
    </row>
    <row r="15" spans="1:10" hidden="1" x14ac:dyDescent="0.2"/>
    <row r="16" spans="1:10" hidden="1" x14ac:dyDescent="0.2">
      <c r="A16" s="2" t="s">
        <v>55</v>
      </c>
      <c r="B16" s="2"/>
      <c r="C16" s="2"/>
      <c r="D16" s="83" t="s">
        <v>29</v>
      </c>
      <c r="E16" s="183" t="s">
        <v>56</v>
      </c>
      <c r="F16" s="183"/>
      <c r="G16" s="183"/>
      <c r="H16" s="183"/>
      <c r="I16" s="183"/>
    </row>
    <row r="17" spans="1:10" hidden="1" x14ac:dyDescent="0.2">
      <c r="E17" s="183"/>
      <c r="F17" s="183"/>
      <c r="G17" s="183"/>
      <c r="H17" s="183"/>
      <c r="I17" s="183"/>
    </row>
    <row r="18" spans="1:10" x14ac:dyDescent="0.2">
      <c r="A18" s="117"/>
      <c r="B18" s="117"/>
      <c r="C18" s="117"/>
      <c r="D18" s="117"/>
      <c r="E18" s="118"/>
      <c r="F18" s="118"/>
      <c r="G18" s="118"/>
      <c r="H18" s="118"/>
      <c r="I18" s="118"/>
      <c r="J18" s="117"/>
    </row>
    <row r="20" spans="1:10" x14ac:dyDescent="0.2">
      <c r="A20" s="68" t="s">
        <v>50</v>
      </c>
    </row>
    <row r="21" spans="1:10" x14ac:dyDescent="0.2">
      <c r="A21" s="68"/>
    </row>
    <row r="22" spans="1:10" ht="15" x14ac:dyDescent="0.3">
      <c r="A22" s="147" t="s">
        <v>43</v>
      </c>
      <c r="B22" s="148"/>
      <c r="C22" s="148"/>
      <c r="D22" s="82">
        <f>'Leave Payout'!$I$10</f>
        <v>51448.08</v>
      </c>
    </row>
    <row r="23" spans="1:10" x14ac:dyDescent="0.2">
      <c r="A23" s="68"/>
    </row>
    <row r="24" spans="1:10" x14ac:dyDescent="0.2">
      <c r="A24" s="185" t="s">
        <v>46</v>
      </c>
      <c r="B24" s="186"/>
      <c r="C24" s="186"/>
      <c r="D24" s="186"/>
      <c r="E24" s="187"/>
    </row>
    <row r="25" spans="1:10" ht="15" x14ac:dyDescent="0.3">
      <c r="A25" s="71" t="s">
        <v>48</v>
      </c>
      <c r="B25" s="74" t="str">
        <f>IF('Leave Payout'!$G$14&gt;$C$39,'Leave Payout'!$G$14,"")</f>
        <v/>
      </c>
      <c r="C25" s="66" t="s">
        <v>49</v>
      </c>
      <c r="D25" s="76">
        <f>IF('Leave Payout'!$G$14&gt;$C$39,'Leave Payout'!$I$14,0)</f>
        <v>0</v>
      </c>
      <c r="E25" s="72"/>
    </row>
    <row r="26" spans="1:10" ht="15" x14ac:dyDescent="0.3">
      <c r="A26" s="71" t="s">
        <v>48</v>
      </c>
      <c r="B26" s="74" t="str">
        <f>IF('Leave Payout'!$G$15&gt;=$C$39,'Leave Payout'!$G$15,"")</f>
        <v/>
      </c>
      <c r="C26" s="66" t="s">
        <v>49</v>
      </c>
      <c r="D26" s="76">
        <f>IF('Leave Payout'!$G$15&gt;=$C$39,'Leave Payout'!$I$15,0)</f>
        <v>0</v>
      </c>
      <c r="E26" s="72"/>
    </row>
    <row r="27" spans="1:10" ht="15" x14ac:dyDescent="0.3">
      <c r="A27" s="71" t="s">
        <v>48</v>
      </c>
      <c r="B27" s="74" t="str">
        <f>IF('Leave Payout'!$G$16&gt;$C$39,'Leave Payout'!$G$16,"")</f>
        <v/>
      </c>
      <c r="C27" s="66" t="s">
        <v>49</v>
      </c>
      <c r="D27" s="76">
        <f>IF('Leave Payout'!$G$16&gt;$C$39,'Leave Payout'!$I$16,0)</f>
        <v>0</v>
      </c>
      <c r="E27" s="72"/>
    </row>
    <row r="28" spans="1:10" ht="15" x14ac:dyDescent="0.3">
      <c r="A28" s="71" t="s">
        <v>48</v>
      </c>
      <c r="B28" s="74" t="str">
        <f>IF('Leave Payout'!$G$17&gt;$C$39,'Leave Payout'!$G$17,"")</f>
        <v/>
      </c>
      <c r="C28" s="66" t="s">
        <v>49</v>
      </c>
      <c r="D28" s="76">
        <f>IF('Leave Payout'!$G$17&gt;$C$39,'Leave Payout'!$I$17,0)</f>
        <v>0</v>
      </c>
      <c r="E28" s="72"/>
    </row>
    <row r="29" spans="1:10" ht="15" x14ac:dyDescent="0.3">
      <c r="A29" s="71" t="s">
        <v>48</v>
      </c>
      <c r="B29" s="74" t="str">
        <f>IF('Leave Payout'!$G$18&gt;$C$39,'Leave Payout'!$G$18,"")</f>
        <v/>
      </c>
      <c r="C29" s="66" t="s">
        <v>49</v>
      </c>
      <c r="D29" s="76">
        <f>IF('Leave Payout'!$G$18&gt;$C$39,'Leave Payout'!$I$18,0)</f>
        <v>0</v>
      </c>
      <c r="E29" s="72"/>
    </row>
    <row r="30" spans="1:10" ht="15" x14ac:dyDescent="0.3">
      <c r="A30" s="73" t="s">
        <v>48</v>
      </c>
      <c r="B30" s="75" t="str">
        <f>IF('Leave Payout'!$G$19&gt;$C$39,'Leave Payout'!$G$19,"")</f>
        <v/>
      </c>
      <c r="C30" s="67" t="s">
        <v>49</v>
      </c>
      <c r="D30" s="77">
        <f>IF('Leave Payout'!$G$19&gt;$C$39,'Leave Payout'!$I$19,0)</f>
        <v>0</v>
      </c>
      <c r="E30" s="65"/>
    </row>
    <row r="31" spans="1:10" x14ac:dyDescent="0.2">
      <c r="D31" s="80">
        <f>SUM($D$22,$D$25:$D$30)</f>
        <v>51448.08</v>
      </c>
      <c r="E31" s="79" t="s">
        <v>52</v>
      </c>
    </row>
    <row r="32" spans="1:10" x14ac:dyDescent="0.2">
      <c r="D32" s="81">
        <f>1+(COUNTIF(B25:B30,"&gt;0"))</f>
        <v>1</v>
      </c>
      <c r="E32" s="68" t="s">
        <v>53</v>
      </c>
    </row>
    <row r="33" spans="1:15" x14ac:dyDescent="0.2">
      <c r="D33" s="80">
        <f>D31/D32</f>
        <v>51448.08</v>
      </c>
      <c r="E33" s="68" t="s">
        <v>54</v>
      </c>
    </row>
    <row r="34" spans="1:15" x14ac:dyDescent="0.2">
      <c r="C34" s="78"/>
      <c r="D34" s="90">
        <f>IFERROR(ROUND($D$33/$D$4,2),0)</f>
        <v>24.73</v>
      </c>
      <c r="E34" s="184" t="s">
        <v>57</v>
      </c>
      <c r="F34" s="184"/>
      <c r="G34" s="184"/>
      <c r="H34" s="184"/>
      <c r="I34" s="184"/>
    </row>
    <row r="35" spans="1:15" x14ac:dyDescent="0.2">
      <c r="E35" s="184"/>
      <c r="F35" s="184"/>
      <c r="G35" s="184"/>
      <c r="H35" s="184"/>
      <c r="I35" s="184"/>
    </row>
    <row r="37" spans="1:15" ht="15" x14ac:dyDescent="0.3">
      <c r="A37" s="180" t="s">
        <v>6</v>
      </c>
      <c r="B37" s="180"/>
      <c r="C37" s="75">
        <f>'Leave Payout'!$C$15</f>
        <v>42621</v>
      </c>
    </row>
    <row r="39" spans="1:15" ht="15" customHeight="1" x14ac:dyDescent="0.3">
      <c r="A39" s="180" t="s">
        <v>51</v>
      </c>
      <c r="B39" s="180"/>
      <c r="C39" s="75">
        <f>DATE(YEAR(C37)-3,MONTH(C37),DAY(C37))</f>
        <v>41525</v>
      </c>
      <c r="E39" s="181" t="s">
        <v>93</v>
      </c>
      <c r="F39" s="182"/>
      <c r="G39" s="182"/>
      <c r="H39" s="182"/>
      <c r="I39" s="182"/>
      <c r="J39" s="89"/>
      <c r="K39" s="89"/>
      <c r="L39" s="89"/>
      <c r="M39" s="89"/>
      <c r="N39" s="89"/>
      <c r="O39" s="89"/>
    </row>
    <row r="40" spans="1:15" x14ac:dyDescent="0.2">
      <c r="E40" s="182"/>
      <c r="F40" s="182"/>
      <c r="G40" s="182"/>
      <c r="H40" s="182"/>
      <c r="I40" s="182"/>
      <c r="J40" s="89"/>
      <c r="K40" s="89"/>
      <c r="L40" s="89"/>
      <c r="M40" s="89"/>
      <c r="N40" s="89"/>
      <c r="O40" s="89"/>
    </row>
    <row r="41" spans="1:15" x14ac:dyDescent="0.2">
      <c r="E41" s="182"/>
      <c r="F41" s="182"/>
      <c r="G41" s="182"/>
      <c r="H41" s="182"/>
      <c r="I41" s="182"/>
      <c r="J41" s="89"/>
      <c r="K41" s="89"/>
      <c r="L41" s="89"/>
      <c r="M41" s="89"/>
      <c r="N41" s="89"/>
      <c r="O41" s="89"/>
    </row>
    <row r="42" spans="1:15" x14ac:dyDescent="0.2">
      <c r="E42" s="182"/>
      <c r="F42" s="182"/>
      <c r="G42" s="182"/>
      <c r="H42" s="182"/>
      <c r="I42" s="182"/>
      <c r="J42" s="89"/>
      <c r="K42" s="89"/>
      <c r="L42" s="89"/>
      <c r="M42" s="89"/>
      <c r="N42" s="89"/>
      <c r="O42" s="89"/>
    </row>
    <row r="43" spans="1:15" x14ac:dyDescent="0.2">
      <c r="E43" s="182"/>
      <c r="F43" s="182"/>
      <c r="G43" s="182"/>
      <c r="H43" s="182"/>
      <c r="I43" s="182"/>
    </row>
    <row r="44" spans="1:15" x14ac:dyDescent="0.2">
      <c r="E44" s="182"/>
      <c r="F44" s="182"/>
      <c r="G44" s="182"/>
      <c r="H44" s="182"/>
      <c r="I44" s="182"/>
    </row>
    <row r="45" spans="1:15" x14ac:dyDescent="0.2">
      <c r="E45" s="182"/>
      <c r="F45" s="182"/>
      <c r="G45" s="182"/>
      <c r="H45" s="182"/>
      <c r="I45" s="182"/>
    </row>
    <row r="46" spans="1:15" x14ac:dyDescent="0.2">
      <c r="E46" s="182"/>
      <c r="F46" s="182"/>
      <c r="G46" s="182"/>
      <c r="H46" s="182"/>
      <c r="I46" s="182"/>
    </row>
    <row r="47" spans="1:15" x14ac:dyDescent="0.2">
      <c r="E47" s="182"/>
      <c r="F47" s="182"/>
      <c r="G47" s="182"/>
      <c r="H47" s="182"/>
      <c r="I47" s="182"/>
    </row>
  </sheetData>
  <sheetProtection password="CC16" sheet="1" objects="1" scenarios="1" selectLockedCells="1"/>
  <mergeCells count="8">
    <mergeCell ref="A4:C4"/>
    <mergeCell ref="A37:B37"/>
    <mergeCell ref="A39:B39"/>
    <mergeCell ref="E39:I47"/>
    <mergeCell ref="E16:I17"/>
    <mergeCell ref="E34:I35"/>
    <mergeCell ref="A24:E24"/>
    <mergeCell ref="A22:C22"/>
  </mergeCells>
  <dataValidations count="3">
    <dataValidation allowBlank="1" showInputMessage="1" showErrorMessage="1" promptTitle="Separation Date:" prompt="Enter the Separation Date of the employee as shown on PMIS screen PSE305." sqref="C37"/>
    <dataValidation allowBlank="1" showInputMessage="1" showErrorMessage="1" promptTitle="Annual Salary" prompt="enter the annual salary" sqref="D22"/>
    <dataValidation type="list" allowBlank="1" showInputMessage="1" showErrorMessage="1" sqref="D16:D18">
      <formula1>YesNo</formula1>
    </dataValidation>
  </dataValidations>
  <pageMargins left="0.7" right="0.7" top="0.75" bottom="0.75" header="0.3" footer="0.3"/>
  <pageSetup scale="9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A3" sqref="A3"/>
    </sheetView>
  </sheetViews>
  <sheetFormatPr defaultRowHeight="12.75" x14ac:dyDescent="0.2"/>
  <cols>
    <col min="1" max="1" width="10.5703125" style="115" customWidth="1"/>
    <col min="2" max="2" width="104.85546875" style="113" customWidth="1"/>
    <col min="3" max="3" width="7.85546875" style="115" customWidth="1"/>
  </cols>
  <sheetData>
    <row r="1" spans="1:3" s="87" customFormat="1" ht="27.75" customHeight="1" x14ac:dyDescent="0.2">
      <c r="A1" s="119" t="s">
        <v>61</v>
      </c>
      <c r="B1" s="88" t="s">
        <v>70</v>
      </c>
      <c r="C1" s="119" t="s">
        <v>62</v>
      </c>
    </row>
    <row r="2" spans="1:3" hidden="1" x14ac:dyDescent="0.2">
      <c r="A2" s="125"/>
      <c r="B2" s="112"/>
      <c r="C2" s="114"/>
    </row>
    <row r="3" spans="1:3" x14ac:dyDescent="0.2">
      <c r="A3" s="125">
        <v>42145</v>
      </c>
      <c r="B3" s="127" t="s">
        <v>72</v>
      </c>
      <c r="C3" s="128" t="s">
        <v>63</v>
      </c>
    </row>
    <row r="4" spans="1:3" x14ac:dyDescent="0.2">
      <c r="A4" s="125">
        <v>42040</v>
      </c>
      <c r="B4" s="127" t="s">
        <v>71</v>
      </c>
      <c r="C4" s="128" t="s">
        <v>63</v>
      </c>
    </row>
    <row r="5" spans="1:3" ht="38.25" x14ac:dyDescent="0.2">
      <c r="A5" s="125">
        <v>41948</v>
      </c>
      <c r="B5" s="112" t="s">
        <v>68</v>
      </c>
      <c r="C5" s="114" t="s">
        <v>63</v>
      </c>
    </row>
    <row r="6" spans="1:3" ht="63.75" x14ac:dyDescent="0.2">
      <c r="A6" s="126">
        <v>41927</v>
      </c>
      <c r="B6" s="112" t="s">
        <v>67</v>
      </c>
      <c r="C6" s="114" t="s">
        <v>63</v>
      </c>
    </row>
    <row r="7" spans="1:3" ht="63.75" x14ac:dyDescent="0.2">
      <c r="A7" s="126">
        <v>41878</v>
      </c>
      <c r="B7" s="116" t="s">
        <v>69</v>
      </c>
      <c r="C7" s="114" t="s">
        <v>63</v>
      </c>
    </row>
  </sheetData>
  <sheetProtection password="CC16" sheet="1" objects="1" scenarios="1" select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A48" sqref="A48"/>
    </sheetView>
  </sheetViews>
  <sheetFormatPr defaultRowHeight="12.75" x14ac:dyDescent="0.2"/>
  <cols>
    <col min="1" max="1" width="47.28515625" bestFit="1" customWidth="1"/>
    <col min="2" max="2" width="19.7109375" customWidth="1"/>
    <col min="3" max="3" width="15.28515625" customWidth="1"/>
    <col min="4" max="4" width="9.140625" customWidth="1"/>
  </cols>
  <sheetData>
    <row r="1" spans="1:3" x14ac:dyDescent="0.2">
      <c r="A1" s="130"/>
      <c r="B1" s="130"/>
      <c r="C1" s="130"/>
    </row>
    <row r="2" spans="1:3" x14ac:dyDescent="0.2">
      <c r="A2" s="130"/>
      <c r="B2" s="130"/>
      <c r="C2" s="130"/>
    </row>
    <row r="3" spans="1:3" x14ac:dyDescent="0.2">
      <c r="A3" s="188" t="s">
        <v>80</v>
      </c>
      <c r="B3" s="189"/>
      <c r="C3" s="189"/>
    </row>
    <row r="4" spans="1:3" x14ac:dyDescent="0.2">
      <c r="A4" s="131"/>
      <c r="B4" s="131"/>
      <c r="C4" s="132"/>
    </row>
    <row r="5" spans="1:3" x14ac:dyDescent="0.2">
      <c r="A5" s="133" t="s">
        <v>74</v>
      </c>
      <c r="B5" s="136">
        <f>'Leave Payout'!C8</f>
        <v>0</v>
      </c>
      <c r="C5" s="130"/>
    </row>
    <row r="6" spans="1:3" x14ac:dyDescent="0.2">
      <c r="A6" s="133" t="s">
        <v>75</v>
      </c>
      <c r="B6" s="133">
        <f>'Leave Payout'!I8</f>
        <v>0</v>
      </c>
      <c r="C6" s="130"/>
    </row>
    <row r="7" spans="1:3" x14ac:dyDescent="0.2">
      <c r="A7" s="133" t="s">
        <v>81</v>
      </c>
      <c r="B7" s="133">
        <f>'Leave Payout'!C12</f>
        <v>44372</v>
      </c>
      <c r="C7" s="130"/>
    </row>
    <row r="8" spans="1:3" x14ac:dyDescent="0.2">
      <c r="A8" s="133" t="s">
        <v>82</v>
      </c>
      <c r="B8" s="133">
        <f>'Leave Payout'!C13</f>
        <v>5</v>
      </c>
      <c r="C8" s="130"/>
    </row>
    <row r="9" spans="1:3" x14ac:dyDescent="0.2">
      <c r="A9" s="130"/>
      <c r="B9" s="133"/>
      <c r="C9" s="130"/>
    </row>
    <row r="10" spans="1:3" x14ac:dyDescent="0.2">
      <c r="A10" s="133" t="s">
        <v>83</v>
      </c>
      <c r="B10" s="134">
        <f>pmisanndate</f>
        <v>44372</v>
      </c>
      <c r="C10" s="130"/>
    </row>
    <row r="11" spans="1:3" x14ac:dyDescent="0.2">
      <c r="A11" s="133" t="s">
        <v>84</v>
      </c>
      <c r="B11" s="135">
        <f>(pmisannnum+5)*12</f>
        <v>120</v>
      </c>
      <c r="C11" s="130"/>
    </row>
    <row r="12" spans="1:3" x14ac:dyDescent="0.2">
      <c r="A12" s="133" t="s">
        <v>85</v>
      </c>
      <c r="B12" s="134">
        <f>EDATE(cpmisanndate,-lstannmos)</f>
        <v>40719</v>
      </c>
      <c r="C12" s="130"/>
    </row>
    <row r="13" spans="1:3" ht="13.5" thickBot="1" x14ac:dyDescent="0.25">
      <c r="A13" s="130"/>
      <c r="B13" s="133"/>
      <c r="C13" s="130"/>
    </row>
    <row r="14" spans="1:3" ht="14.25" thickTop="1" thickBot="1" x14ac:dyDescent="0.25">
      <c r="A14" s="136" t="s">
        <v>76</v>
      </c>
      <c r="B14" s="137">
        <f>DATE(YEAR(pmisannnew),MONTH(pmisannnew),1)</f>
        <v>40695</v>
      </c>
      <c r="C14" s="130"/>
    </row>
    <row r="15" spans="1:3" ht="14.25" thickTop="1" thickBot="1" x14ac:dyDescent="0.25">
      <c r="A15" s="133"/>
      <c r="B15" s="134"/>
      <c r="C15" s="130"/>
    </row>
    <row r="16" spans="1:3" ht="14.25" thickTop="1" thickBot="1" x14ac:dyDescent="0.25">
      <c r="A16" s="136" t="s">
        <v>77</v>
      </c>
      <c r="B16" s="137">
        <f>pmisannnew</f>
        <v>40719</v>
      </c>
      <c r="C16" s="130"/>
    </row>
    <row r="17" spans="1:3" ht="13.5" thickTop="1" x14ac:dyDescent="0.2">
      <c r="A17" s="130"/>
      <c r="B17" s="130"/>
      <c r="C17" s="130"/>
    </row>
    <row r="18" spans="1:3" ht="12.75" customHeight="1" x14ac:dyDescent="0.2">
      <c r="A18" s="190" t="s">
        <v>86</v>
      </c>
      <c r="B18" s="191"/>
      <c r="C18" s="138"/>
    </row>
    <row r="19" spans="1:3" x14ac:dyDescent="0.2">
      <c r="A19" s="191"/>
      <c r="B19" s="191"/>
      <c r="C19" s="138"/>
    </row>
    <row r="20" spans="1:3" x14ac:dyDescent="0.2">
      <c r="A20" s="191"/>
      <c r="B20" s="191"/>
      <c r="C20" s="138"/>
    </row>
    <row r="21" spans="1:3" x14ac:dyDescent="0.2">
      <c r="A21" s="191"/>
      <c r="B21" s="191"/>
      <c r="C21" s="138"/>
    </row>
    <row r="22" spans="1:3" x14ac:dyDescent="0.2">
      <c r="A22" s="191"/>
      <c r="B22" s="191"/>
      <c r="C22" s="138"/>
    </row>
    <row r="23" spans="1:3" x14ac:dyDescent="0.2">
      <c r="A23" s="191"/>
      <c r="B23" s="191"/>
      <c r="C23" s="138"/>
    </row>
    <row r="24" spans="1:3" x14ac:dyDescent="0.2">
      <c r="A24" s="191"/>
      <c r="B24" s="191"/>
      <c r="C24" s="138"/>
    </row>
    <row r="25" spans="1:3" x14ac:dyDescent="0.2">
      <c r="A25" s="133" t="s">
        <v>87</v>
      </c>
      <c r="B25" s="130"/>
      <c r="C25" s="130"/>
    </row>
  </sheetData>
  <sheetProtection password="CC16" sheet="1" objects="1" scenarios="1"/>
  <mergeCells count="2">
    <mergeCell ref="A3:C3"/>
    <mergeCell ref="A18:B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26</vt:i4>
      </vt:variant>
    </vt:vector>
  </HeadingPairs>
  <TitlesOfParts>
    <vt:vector size="31" baseType="lpstr">
      <vt:lpstr>Instructions</vt:lpstr>
      <vt:lpstr>Leave Payout</vt:lpstr>
      <vt:lpstr>Lookups and Calculations</vt:lpstr>
      <vt:lpstr>Revision Notes</vt:lpstr>
      <vt:lpstr>Adjusted Emp Date Calc</vt:lpstr>
      <vt:lpstr>adjemp</vt:lpstr>
      <vt:lpstr>adjlwop</vt:lpstr>
      <vt:lpstr>cpmisanndate</vt:lpstr>
      <vt:lpstr>csbd</vt:lpstr>
      <vt:lpstr>currper</vt:lpstr>
      <vt:lpstr>deferred</vt:lpstr>
      <vt:lpstr>defpayout</vt:lpstr>
      <vt:lpstr>lstannmos</vt:lpstr>
      <vt:lpstr>lvpay</vt:lpstr>
      <vt:lpstr>'Leave Payout'!lvtypes</vt:lpstr>
      <vt:lpstr>lvtypes02</vt:lpstr>
      <vt:lpstr>lwopno</vt:lpstr>
      <vt:lpstr>OTLvAvgHrlyRate</vt:lpstr>
      <vt:lpstr>payno</vt:lpstr>
      <vt:lpstr>pmisanndate</vt:lpstr>
      <vt:lpstr>pmisannnew</vt:lpstr>
      <vt:lpstr>pmisannnum</vt:lpstr>
      <vt:lpstr>Instructions!Print_Area</vt:lpstr>
      <vt:lpstr>'Leave Payout'!Print_Area</vt:lpstr>
      <vt:lpstr>'Lookups and Calculations'!Print_Area</vt:lpstr>
      <vt:lpstr>PSM</vt:lpstr>
      <vt:lpstr>SBD</vt:lpstr>
      <vt:lpstr>sepstat</vt:lpstr>
      <vt:lpstr>SepStatus</vt:lpstr>
      <vt:lpstr>spcpay</vt:lpstr>
      <vt:lpstr>YesNo</vt:lpstr>
    </vt:vector>
  </TitlesOfParts>
  <Company>Virginia Department of Accounts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Leave Payment Spreadsheet</dc:title>
  <dc:subject>Leave Payment Spreadsheet</dc:subject>
  <dc:creator>Virginia Department of Accounts</dc:creator>
  <cp:keywords>Leave Payment Spreadsheet</cp:keywords>
  <dc:description>Leave Payment Spreadsheet</dc:description>
  <cp:lastModifiedBy>jrk37457</cp:lastModifiedBy>
  <cp:lastPrinted>2014-10-15T15:43:23Z</cp:lastPrinted>
  <dcterms:created xsi:type="dcterms:W3CDTF">2011-01-05T14:30:32Z</dcterms:created>
  <dcterms:modified xsi:type="dcterms:W3CDTF">2016-10-25T20:27:13Z</dcterms:modified>
  <cp:category>Leave Payment Spreadsheet</cp:category>
</cp:coreProperties>
</file>